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janeiro2014" sheetId="1" r:id="rId1"/>
  </sheets>
  <externalReferences>
    <externalReference r:id="rId4"/>
  </externalReferences>
  <definedNames>
    <definedName name="_xlnm.Print_Area" localSheetId="0">'janeiro2014'!$B$2:$W$479</definedName>
    <definedName name="Excel_BuiltIn__FilterDatabase">'janeiro2014'!$B$4:$W$469</definedName>
    <definedName name="_xlnm.Print_Titles" localSheetId="0">'janeiro2014'!$1:$4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<sst xmlns="http://schemas.openxmlformats.org/spreadsheetml/2006/main" count="614" uniqueCount="237">
  <si>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</si>
  <si>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</si>
  <si>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</si>
  <si>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</si>
  <si>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</si>
  <si>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</si>
  <si>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</si>
  <si>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</si>
  <si>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</si>
  <si>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</si>
  <si>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</si>
  <si>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</si>
  <si>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</si>
  <si>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</si>
  <si>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</si>
  <si>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</si>
  <si>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</si>
  <si>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</si>
  <si>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</si>
  <si>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</si>
  <si>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</si>
  <si>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</si>
  <si>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</si>
  <si>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</si>
  <si>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ADRIANA SATOU LESSA FERREIRA PINHEIRO</t>
  </si>
  <si>
    <t>AGENOR MARTINS PEREIRA</t>
  </si>
  <si>
    <t>ALBERTO CARLOS DE MENDONÇA</t>
  </si>
  <si>
    <t>em exercício</t>
  </si>
  <si>
    <t>ALINE PIMENTEL GONÇALVES</t>
  </si>
  <si>
    <t>AMAURY DE OLIVEIRA XAVIER RAMOS FILHO</t>
  </si>
  <si>
    <t>F</t>
  </si>
  <si>
    <t>ANA CATARINA CISNEIROS BARBOSA DE ARAÚJO</t>
  </si>
  <si>
    <t>ANA CATARINA MAGALHÃES SÁ LEITÃO</t>
  </si>
  <si>
    <t>ANA CLÁUDIA PETRUCCELLI DE LIMA</t>
  </si>
  <si>
    <t>ANA CRISTINA ARGOLO DE BARROS</t>
  </si>
  <si>
    <t>ANA ISABEL GUERRA BARBOSA KOURY</t>
  </si>
  <si>
    <t>ANA MARIA APARECIDA DE FREITAS</t>
  </si>
  <si>
    <t>ANA MARIA SOARES RIBEIRO DE BARROS</t>
  </si>
  <si>
    <t>ANDRÉ LUIZ MACHADO</t>
  </si>
  <si>
    <t>ANDRÉA CLÁUDIA DE SOUZA</t>
  </si>
  <si>
    <t>ANDRÉA KEUST BANDEIRA DE MELO</t>
  </si>
  <si>
    <t>ANTÔNIO AUGUSTO SERRA SECA</t>
  </si>
  <si>
    <t>ANTÔNIO WANDERLEY MARTINS</t>
  </si>
  <si>
    <t>LM</t>
  </si>
  <si>
    <t>ARMANDO DA CUNHA RABELO NETO</t>
  </si>
  <si>
    <t xml:space="preserve">AURÉLIO DA SILVA </t>
  </si>
  <si>
    <t>BARTOLOMEU ALVES BEZERRA</t>
  </si>
  <si>
    <t>BERNARDO NUNES DA COSTA NETO</t>
  </si>
  <si>
    <t>CAMILA AUGUSTA CABRAL   VASCONCELOS</t>
  </si>
  <si>
    <t>CARLA JANAÍNA MOURA LACERDA</t>
  </si>
  <si>
    <t>CARLA SANTINA DE SOUZA RODRIGUES</t>
  </si>
  <si>
    <t>CARMEM LÚCIA VIEIRA DO NASCIMENTO</t>
  </si>
  <si>
    <t>CÁSSIA BARATA DE MORAES SANTOS ARTEIRO</t>
  </si>
  <si>
    <t>CLAUDIA CHRISTINA SANTOS R. DE LIMA</t>
  </si>
  <si>
    <t>CRISTINA FIGUEIRA CALLOU DA C. GONÇALVES</t>
  </si>
  <si>
    <t>DAISY ANDERSON TENÓRIO</t>
  </si>
  <si>
    <t>DANIELLE LIRA PIMENTEL ACIOLI</t>
  </si>
  <si>
    <t>DANILO CAVALCANTI DE OLIVEIRA</t>
  </si>
  <si>
    <t>EDMILSON ALVES DA SILVA</t>
  </si>
  <si>
    <t>EDSON LUIS BRYK</t>
  </si>
  <si>
    <t>EDUARDO HENRIQUE BRENNAND D. CÂMARA</t>
  </si>
  <si>
    <t>ESTER DE SOUZA ARAÚJO FURTADO</t>
  </si>
  <si>
    <t>EVELLYNE FERRAZ CORREIA FARIAS</t>
  </si>
  <si>
    <t>FÁBIO JOSÉ RIBEIRO DANTAS FURTADO</t>
  </si>
  <si>
    <t>FERNANDO CABRAL DE ANDRADE FILHO</t>
  </si>
  <si>
    <t>GENISON CIRILO CABRAL</t>
  </si>
  <si>
    <t>GEORGE SIDNEY NEIVA COELHO</t>
  </si>
  <si>
    <t>GILVANILDO DE ARAÚJO LIMA</t>
  </si>
  <si>
    <t>GUILHERME DE MORAIS MENDONÇA</t>
  </si>
  <si>
    <t>GUSTAVO AUGUSTO PIRES DE OLIVEIRA</t>
  </si>
  <si>
    <t>GUSTAVO HENRIQUE CISNEIROS BARBOSA</t>
  </si>
  <si>
    <t>HÉLIO LUIZ FERNANDES GALVÃO</t>
  </si>
  <si>
    <t>IBRAHIM ALVES DA SILVA FILHO</t>
  </si>
  <si>
    <t>ILKA ELIANE DE SOUZA TAVARES</t>
  </si>
  <si>
    <t>JOAQUIM EMILIANO FORTALEZA DE LIMA</t>
  </si>
  <si>
    <t>JOSÉ ADELMY DA SILVA ACIOLI</t>
  </si>
  <si>
    <t>JOSÉ AUGUSTO SEGUNDO NETO</t>
  </si>
  <si>
    <t>JOSÉ LUCIANO ALEXO DA SILVA</t>
  </si>
  <si>
    <t>JOSÉ WILSON DA FONSECA</t>
  </si>
  <si>
    <t>JOSIMAR MENDES DA SILVA OLIVEIRA</t>
  </si>
  <si>
    <t>JUDITE GALINDO SAMPAIO CURCHATUZ</t>
  </si>
  <si>
    <t>JULIANA  LYRA  BARBOSA</t>
  </si>
  <si>
    <t>KATIA KEITIANE DA ROCHA PORTER</t>
  </si>
  <si>
    <t>LARRY DA SILVA OLIVEIRA FILHO</t>
  </si>
  <si>
    <t>LAURA CAVALCANTI DE MORAIS BOTELHO</t>
  </si>
  <si>
    <t>LILIANE MENDONÇA DE MORAES SOUZA</t>
  </si>
  <si>
    <t>LUCAS DE ARAÚJO CAVALCANTI</t>
  </si>
  <si>
    <t>LUCIANA PAULA CONFORTI</t>
  </si>
  <si>
    <t>MARCELO DA VEIGA PESSOA BACALLÁ</t>
  </si>
  <si>
    <t>MARCIA DE WINDSOR NOGUEIRA</t>
  </si>
  <si>
    <t>MARCÍLIO FLORÊNCIO MOTA</t>
  </si>
  <si>
    <t>MARIA CONSOLATA RÊGO BATISTA</t>
  </si>
  <si>
    <t>MARIA DAS GRAÇAS DE ARRUDA FRANÇA</t>
  </si>
  <si>
    <t>MARIA DE BETÂNIA SILVEIRA VILELA</t>
  </si>
  <si>
    <t>MARIA DO CARMO VAREJÃO RICHLIN</t>
  </si>
  <si>
    <t>MARIA JOSÉ DE SOUZA</t>
  </si>
  <si>
    <t>MARILIA GABRIELA MENDES LEITE DE ANDRADE</t>
  </si>
  <si>
    <t>MARTA DE FÁTIMA LEAL CHAVES</t>
  </si>
  <si>
    <t>MARTHA CRISTINA DO NASCIMENTO CANTALICE</t>
  </si>
  <si>
    <t xml:space="preserve">MATHEUS RIBEIRO REZENDE </t>
  </si>
  <si>
    <t>MAYARD DE FRANÇA SABOYA ALBUQUERQUE</t>
  </si>
  <si>
    <t>MAYSA COSTA DE CARVALHO ALVES</t>
  </si>
  <si>
    <t>MILTON GOUVEIA DA SILVA FILHO</t>
  </si>
  <si>
    <t>MIRIAM SOUTO MAIOR DE MORAIS</t>
  </si>
  <si>
    <t>NECY LAPENDA PESSOA DE A. AZEVEDO</t>
  </si>
  <si>
    <t>PATRÍCIA COELHO BRANDÃO VIEIRA</t>
  </si>
  <si>
    <t>PATRICIA PEDROSA SOUTO MAIOR</t>
  </si>
  <si>
    <t>PAULA REGINA DE QUEIROZ M. G. MUNIZ</t>
  </si>
  <si>
    <t>PAULO DIAS DE ALCÂNTARA</t>
  </si>
  <si>
    <t>PLAUDENICE ABREU DE ARAÚJO B. VIEIRA</t>
  </si>
  <si>
    <t>RAFAEL VAL NOGUEIRA</t>
  </si>
  <si>
    <t xml:space="preserve">REGINA MAURA MACIEL LEMOS </t>
  </si>
  <si>
    <t>RENATA CONCEIÇÃO NÓBREGA SANTOS</t>
  </si>
  <si>
    <t>RENATA LAPENDA RODRIGUES DE MELO</t>
  </si>
  <si>
    <t>RENATA LIMA RODRIGUES</t>
  </si>
  <si>
    <t>ROBERTA CORRÊA DE ARAÚJO MONTEIRO</t>
  </si>
  <si>
    <t>ROBERTA VANCE HARROP</t>
  </si>
  <si>
    <t>ROBERTO DE FREIRE BASTOS</t>
  </si>
  <si>
    <t>ROBSON TAVARES DUTRA</t>
  </si>
  <si>
    <t>RODRIGO SAMICO CARNEIRO</t>
  </si>
  <si>
    <t>ROGÉRIO FREYRE COSTA</t>
  </si>
  <si>
    <t>ROSA MELO MACHADO RODRIGUES FARIA</t>
  </si>
  <si>
    <t>SAULO BOSCO SOUZA DE MEDEIROS</t>
  </si>
  <si>
    <t>SÉRGIO MURILO DE CARVALHO LINS</t>
  </si>
  <si>
    <t>SÉRGIO VAISMAN</t>
  </si>
  <si>
    <t>SOHAD MARIA DUTRA CAHÚ</t>
  </si>
  <si>
    <t xml:space="preserve">SOLANGE MOURA DE ANDRADE </t>
  </si>
  <si>
    <t>TÂNIA REGINA CHENK ALLATTA</t>
  </si>
  <si>
    <t>VIRGÍNIA LÚCIA DE SÁ BAHIA</t>
  </si>
  <si>
    <t>VIRGÍNIO HENRIQUES DE SÁ BENEVIDES</t>
  </si>
  <si>
    <t>WALKÍRIA MIRIAM PINTO DE CARVALHO</t>
  </si>
  <si>
    <t>WALMAR SOARES CHAVES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</si>
  <si>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</si>
  <si>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</si>
  <si>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</si>
  <si>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</si>
  <si>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</si>
  <si>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</si>
  <si>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</si>
  <si>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</si>
  <si>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</si>
  <si>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</si>
  <si>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</si>
  <si>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</si>
  <si>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</si>
  <si>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</si>
  <si>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</si>
  <si>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</si>
  <si>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</si>
  <si>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</si>
  <si>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</si>
  <si>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       C - CONVOCADO</t>
  </si>
  <si>
    <t xml:space="preserve">F - FÉRIAS </t>
  </si>
  <si>
    <t>Comp - COMPENSAÇÃO</t>
  </si>
  <si>
    <t xml:space="preserve">SITUAÇÃO </t>
  </si>
  <si>
    <t>EDGAR GURJÃO WANDERLEY NETO</t>
  </si>
  <si>
    <t xml:space="preserve">SITUAÇÃO  </t>
  </si>
  <si>
    <t>LUTO- Ausência Falecim. Parente</t>
  </si>
  <si>
    <t xml:space="preserve">AUX </t>
  </si>
  <si>
    <t>ME</t>
  </si>
  <si>
    <t>KATHARINA VILA NOVA DE CARVALHO OLIVEIRA E SILVA</t>
  </si>
  <si>
    <t>5ª VT Jaboatão</t>
  </si>
  <si>
    <t>LTRA- Licença p/ Trânsito</t>
  </si>
  <si>
    <t xml:space="preserve">ANA CRISTINA DA SILVA </t>
  </si>
  <si>
    <t>ADALBERTO ELLERY BARREIRA NETO</t>
  </si>
  <si>
    <t>MARIANA DE CARVALHO MILET</t>
  </si>
  <si>
    <t>OUT/12 a SET/14                           (desde 04.10.12)</t>
  </si>
  <si>
    <t>2ª VT Igarassu</t>
  </si>
  <si>
    <t>LEVI PEREIRA DE OLIVEIRA</t>
  </si>
  <si>
    <t>2ª VT Ribeirão</t>
  </si>
  <si>
    <t>3ª VT Petrolina</t>
  </si>
  <si>
    <t>VANESSA ZACCHÊ DE SÁ</t>
  </si>
  <si>
    <t>GERMANA CAMAROTTI TAVARES</t>
  </si>
  <si>
    <t>2ª VT Palmares</t>
  </si>
  <si>
    <t>SARAH YOLANDA ALVES DE SOUZA</t>
  </si>
  <si>
    <t>FEV/13 A JAN/15</t>
  </si>
  <si>
    <t>RODRIGO ANDERSON FERREIRA OLIVEIRA</t>
  </si>
  <si>
    <t>PAULA GOUVÊA XAVIER</t>
  </si>
  <si>
    <t xml:space="preserve">SITUAÇÃO   </t>
  </si>
  <si>
    <t>AUX</t>
  </si>
  <si>
    <t>MAI/13 A JAN/15</t>
  </si>
  <si>
    <t xml:space="preserve">OUV </t>
  </si>
  <si>
    <t xml:space="preserve">FEV/13 a JAN/15 </t>
  </si>
  <si>
    <t>EVANDRO EULER DIAS</t>
  </si>
  <si>
    <t>SÉRGIO PAULO ANDRADE LIMA</t>
  </si>
  <si>
    <t>HUGO CAVALCANTI MELO FILHO</t>
  </si>
  <si>
    <t>AF</t>
  </si>
  <si>
    <t>C</t>
  </si>
  <si>
    <t>DÉBORA BORGES KOERICH</t>
  </si>
  <si>
    <t>VLADIMIR PAES DE CASTRO</t>
  </si>
  <si>
    <t xml:space="preserve">F </t>
  </si>
  <si>
    <t xml:space="preserve">LM </t>
  </si>
  <si>
    <t>PRODUTIVIDADE DOS JUÍZES DE 1ª INSTÂNCIA DO TRT DA 6ª REGIÃO - JANEIRO/2014</t>
  </si>
  <si>
    <t>29.01 a 27.02.14</t>
  </si>
  <si>
    <t>07.01 a 16.02.14</t>
  </si>
  <si>
    <t>07.01 a 16.01.14</t>
  </si>
  <si>
    <t>27.01 a 25.02.14</t>
  </si>
  <si>
    <t>13.01 a 11.02.14</t>
  </si>
  <si>
    <t>07.01.14</t>
  </si>
  <si>
    <t>07.01 a 22.01.14</t>
  </si>
  <si>
    <t>AF                                                 F</t>
  </si>
  <si>
    <t>06.01 a 17.01.14    20.01 a 18.02.14</t>
  </si>
  <si>
    <t>31.7.12 a 13.03.14</t>
  </si>
  <si>
    <t>16.01 a 14.02.14</t>
  </si>
  <si>
    <t>08.01 a 06.02.14</t>
  </si>
  <si>
    <t>27.01 a 28.01.14</t>
  </si>
  <si>
    <t>14.01 a 12.02.14</t>
  </si>
  <si>
    <t>28.01 a 26.02.14</t>
  </si>
  <si>
    <t>15.01 a 13.02.14</t>
  </si>
  <si>
    <t>LM                                                                 F</t>
  </si>
  <si>
    <t>23.10 a 28.01.14    29.01 a 27.02.14</t>
  </si>
  <si>
    <t>06.01 a 17.01.14</t>
  </si>
  <si>
    <t>07.01 a 21.01.14          21.01 a 19.02.14</t>
  </si>
  <si>
    <t>20.01 a 29.01.14</t>
  </si>
  <si>
    <t>13.01 a 26.01.14</t>
  </si>
  <si>
    <t>23.01.14</t>
  </si>
  <si>
    <t>30.01 a 28.02.14</t>
  </si>
  <si>
    <t xml:space="preserve">30.11 a 13.01.14     14.01 a 12.02.14 </t>
  </si>
  <si>
    <t>28.11 a 31.01.14</t>
  </si>
  <si>
    <t>09.01 a 07.02.14</t>
  </si>
  <si>
    <t>Comp</t>
  </si>
  <si>
    <t>13 a 17 e 20 a 24.01.14</t>
  </si>
  <si>
    <t>04.12 até ult. Delib.</t>
  </si>
  <si>
    <t xml:space="preserve">AF                                                            F                                                    </t>
  </si>
  <si>
    <t>06.01 a 17.01.14                                    07.01 a 05.02.13</t>
  </si>
  <si>
    <t xml:space="preserve">(*)Retificada a produtividade do juiz Rafael Val Nogueira, referente ao mês de dezembro/13, em relação à VT Vitória, para constar como saldos de  "2" no prazo e "0" fora do prazo. </t>
  </si>
  <si>
    <t xml:space="preserve">(*)Retificada a produtividade do juiz Marcílio Florêncio Mota, referente ao mês de dezembro/13, em relação à situação, para constar como Licença Médica de 12 a 21.12.13. </t>
  </si>
  <si>
    <t xml:space="preserve">LM   </t>
  </si>
  <si>
    <t>06. a 10 e 13 a 22.01.13</t>
  </si>
  <si>
    <t>07.01 a 05.02.14</t>
  </si>
  <si>
    <t>07.01 a 13.01.14</t>
  </si>
  <si>
    <t xml:space="preserve">(*)Recesso Forense no período de 20.12.13 a 06.01.14.  </t>
  </si>
  <si>
    <t xml:space="preserve">(*)Inspeção Geral no período de 07.01 a 10.01.14.  </t>
  </si>
  <si>
    <t>Virgínia Malta Canavarro</t>
  </si>
  <si>
    <t>Desembargadora Corregedora
   do TRT 6a. Região</t>
  </si>
  <si>
    <t>Recife, 24 de fevereiro 2014</t>
  </si>
  <si>
    <t>07.01 a 07.02.14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</si>
</sst>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dd&quot;  de  &quot;mmmm&quot;  de 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>
      <alignment vertical="center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1" fontId="18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5" borderId="11" xfId="0" applyNumberFormat="1" applyFont="1" applyFill="1" applyBorder="1" applyAlignment="1" applyProtection="1">
      <alignment horizontal="center" vertical="center"/>
      <protection locked="0"/>
    </xf>
    <xf numFmtId="10" fontId="18" fillId="25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20" fillId="25" borderId="13" xfId="0" applyFont="1" applyFill="1" applyBorder="1" applyAlignment="1">
      <alignment/>
    </xf>
    <xf numFmtId="0" fontId="20" fillId="25" borderId="11" xfId="0" applyFont="1" applyFill="1" applyBorder="1" applyAlignment="1" applyProtection="1">
      <alignment vertical="center"/>
      <protection locked="0"/>
    </xf>
    <xf numFmtId="0" fontId="18" fillId="25" borderId="14" xfId="0" applyFont="1" applyFill="1" applyBorder="1" applyAlignment="1" applyProtection="1">
      <alignment horizontal="center" vertical="center"/>
      <protection locked="0"/>
    </xf>
    <xf numFmtId="1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/>
      <protection locked="0"/>
    </xf>
    <xf numFmtId="1" fontId="20" fillId="25" borderId="15" xfId="0" applyNumberFormat="1" applyFont="1" applyFill="1" applyBorder="1" applyAlignment="1" applyProtection="1">
      <alignment horizontal="center" vertical="center"/>
      <protection locked="0"/>
    </xf>
    <xf numFmtId="10" fontId="20" fillId="25" borderId="11" xfId="0" applyNumberFormat="1" applyFont="1" applyFill="1" applyBorder="1" applyAlignment="1" applyProtection="1">
      <alignment horizontal="center" vertical="center"/>
      <protection/>
    </xf>
    <xf numFmtId="0" fontId="18" fillId="25" borderId="0" xfId="0" applyFont="1" applyFill="1" applyBorder="1" applyAlignment="1" applyProtection="1">
      <alignment vertical="center"/>
      <protection/>
    </xf>
    <xf numFmtId="9" fontId="0" fillId="25" borderId="0" xfId="49" applyFill="1" applyBorder="1" applyAlignment="1" applyProtection="1">
      <alignment vertical="center"/>
      <protection/>
    </xf>
    <xf numFmtId="0" fontId="18" fillId="25" borderId="1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/>
      <protection locked="0"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/>
    </xf>
    <xf numFmtId="10" fontId="18" fillId="0" borderId="0" xfId="49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/>
      <protection locked="0"/>
    </xf>
    <xf numFmtId="1" fontId="18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0" fontId="18" fillId="0" borderId="0" xfId="49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10" fontId="20" fillId="0" borderId="0" xfId="49" applyNumberFormat="1" applyFont="1" applyFill="1" applyBorder="1" applyAlignment="1" applyProtection="1">
      <alignment vertical="center"/>
      <protection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1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1" fontId="18" fillId="0" borderId="17" xfId="0" applyNumberFormat="1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73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20" fillId="25" borderId="0" xfId="0" applyFont="1" applyFill="1" applyBorder="1" applyAlignment="1" applyProtection="1">
      <alignment vertical="center"/>
      <protection locked="0"/>
    </xf>
    <xf numFmtId="0" fontId="18" fillId="25" borderId="0" xfId="0" applyFont="1" applyFill="1" applyBorder="1" applyAlignment="1" applyProtection="1">
      <alignment horizontal="center" vertical="center"/>
      <protection locked="0"/>
    </xf>
    <xf numFmtId="1" fontId="1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/>
      <protection locked="0"/>
    </xf>
    <xf numFmtId="1" fontId="20" fillId="25" borderId="0" xfId="0" applyNumberFormat="1" applyFont="1" applyFill="1" applyBorder="1" applyAlignment="1" applyProtection="1">
      <alignment horizontal="center" vertical="center"/>
      <protection locked="0"/>
    </xf>
    <xf numFmtId="10" fontId="20" fillId="25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Alignment="1">
      <alignment horizontal="left"/>
    </xf>
    <xf numFmtId="0" fontId="20" fillId="25" borderId="15" xfId="0" applyFont="1" applyFill="1" applyBorder="1" applyAlignment="1">
      <alignment vertical="center"/>
    </xf>
    <xf numFmtId="0" fontId="20" fillId="25" borderId="15" xfId="0" applyFont="1" applyFill="1" applyBorder="1" applyAlignment="1">
      <alignment/>
    </xf>
    <xf numFmtId="0" fontId="20" fillId="25" borderId="15" xfId="0" applyFont="1" applyFill="1" applyBorder="1" applyAlignment="1" applyProtection="1">
      <alignment vertical="center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/>
    </xf>
    <xf numFmtId="0" fontId="20" fillId="0" borderId="24" xfId="0" applyFont="1" applyFill="1" applyBorder="1" applyAlignment="1" applyProtection="1">
      <alignment vertical="center"/>
      <protection locked="0"/>
    </xf>
    <xf numFmtId="0" fontId="24" fillId="26" borderId="0" xfId="0" applyFont="1" applyFill="1" applyAlignment="1">
      <alignment horizontal="left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0" fontId="20" fillId="26" borderId="11" xfId="0" applyFont="1" applyFill="1" applyBorder="1" applyAlignment="1">
      <alignment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0" fillId="25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30" xfId="0" applyFont="1" applyFill="1" applyBorder="1" applyAlignment="1" applyProtection="1">
      <alignment horizontal="center" vertical="center" wrapText="1"/>
      <protection locked="0"/>
    </xf>
    <xf numFmtId="0" fontId="20" fillId="25" borderId="31" xfId="0" applyFont="1" applyFill="1" applyBorder="1" applyAlignment="1" applyProtection="1">
      <alignment horizontal="center" vertical="center" wrapText="1"/>
      <protection locked="0"/>
    </xf>
    <xf numFmtId="0" fontId="20" fillId="25" borderId="32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0" fillId="25" borderId="28" xfId="0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25" xfId="0" applyFont="1" applyFill="1" applyBorder="1" applyAlignment="1" applyProtection="1">
      <alignment horizontal="center" vertical="center" wrapText="1"/>
      <protection locked="0"/>
    </xf>
    <xf numFmtId="0" fontId="20" fillId="25" borderId="33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20" fillId="26" borderId="12" xfId="0" applyFont="1" applyFill="1" applyBorder="1" applyAlignment="1" applyProtection="1">
      <alignment horizontal="center" vertical="center" wrapText="1"/>
      <protection locked="0"/>
    </xf>
    <xf numFmtId="0" fontId="20" fillId="26" borderId="28" xfId="0" applyFont="1" applyFill="1" applyBorder="1" applyAlignment="1" applyProtection="1">
      <alignment horizontal="center" vertical="center" wrapText="1"/>
      <protection locked="0"/>
    </xf>
    <xf numFmtId="0" fontId="20" fillId="25" borderId="34" xfId="0" applyFont="1" applyFill="1" applyBorder="1" applyAlignment="1" applyProtection="1">
      <alignment horizontal="center" vertical="center" wrapText="1"/>
      <protection locked="0"/>
    </xf>
    <xf numFmtId="0" fontId="20" fillId="25" borderId="35" xfId="0" applyFont="1" applyFill="1" applyBorder="1" applyAlignment="1" applyProtection="1">
      <alignment horizontal="center" vertical="center" wrapText="1"/>
      <protection locked="0"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20" fillId="26" borderId="25" xfId="0" applyFont="1" applyFill="1" applyBorder="1" applyAlignment="1" applyProtection="1">
      <alignment horizontal="center" vertical="center" wrapText="1"/>
      <protection locked="0"/>
    </xf>
    <xf numFmtId="0" fontId="20" fillId="26" borderId="26" xfId="0" applyFont="1" applyFill="1" applyBorder="1" applyAlignment="1" applyProtection="1">
      <alignment horizontal="center" vertical="center" wrapText="1"/>
      <protection locked="0"/>
    </xf>
    <xf numFmtId="0" fontId="20" fillId="26" borderId="2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  <row r="68">
          <cell r="A68">
            <v>65</v>
          </cell>
          <cell r="B68" t="str">
            <v>3ª VT Ipojuca</v>
          </cell>
        </row>
        <row r="69">
          <cell r="A69">
            <v>66</v>
          </cell>
          <cell r="B69" t="str">
            <v>5ª VT Jaboatão</v>
          </cell>
        </row>
        <row r="70">
          <cell r="A70">
            <v>67</v>
          </cell>
          <cell r="B70" t="str">
            <v>2ª VT Igarassu</v>
          </cell>
        </row>
        <row r="71">
          <cell r="A71">
            <v>68</v>
          </cell>
          <cell r="B71" t="str">
            <v>3ª VT Petrolina</v>
          </cell>
        </row>
        <row r="72">
          <cell r="A72">
            <v>69</v>
          </cell>
          <cell r="B72" t="str">
            <v>2ª VT Palmares</v>
          </cell>
        </row>
        <row r="73">
          <cell r="A73">
            <v>70</v>
          </cell>
          <cell r="B73" t="str">
            <v>2ª VT Ribeirão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3"/>
  <sheetViews>
    <sheetView tabSelected="1" zoomScale="90" zoomScaleNormal="90" workbookViewId="0" topLeftCell="A1">
      <pane xSplit="2" ySplit="4" topLeftCell="C458" activePane="bottomRight" state="frozen"/>
      <selection pane="topLeft" activeCell="A1" sqref="A1"/>
      <selection pane="topRight" activeCell="C1" sqref="C1"/>
      <selection pane="bottomLeft" activeCell="A464" sqref="A464"/>
      <selection pane="bottomRight" activeCell="X445" sqref="X445"/>
    </sheetView>
  </sheetViews>
  <sheetFormatPr defaultColWidth="9.140625" defaultRowHeight="12.75" customHeight="1"/>
  <cols>
    <col min="1" max="1" width="6.140625" style="1" customWidth="1"/>
    <col min="2" max="2" width="18.57421875" style="2" customWidth="1"/>
    <col min="3" max="3" width="13.851562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5" customWidth="1"/>
    <col min="18" max="18" width="7.00390625" style="5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6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7" customFormat="1" ht="12.75" customHeight="1">
      <c r="B1" s="119" t="s">
        <v>192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23" ht="12.75" customHeight="1">
      <c r="B2" s="120" t="s">
        <v>0</v>
      </c>
      <c r="C2" s="121" t="s">
        <v>1</v>
      </c>
      <c r="D2" s="122" t="s">
        <v>2</v>
      </c>
      <c r="E2" s="122"/>
      <c r="F2" s="123" t="s">
        <v>3</v>
      </c>
      <c r="G2" s="123"/>
      <c r="H2" s="123"/>
      <c r="I2" s="123"/>
      <c r="J2" s="124" t="s">
        <v>4</v>
      </c>
      <c r="K2" s="124"/>
      <c r="L2" s="124"/>
      <c r="M2" s="124"/>
      <c r="N2" s="124"/>
      <c r="O2" s="124"/>
      <c r="P2" s="124"/>
      <c r="Q2" s="125" t="s">
        <v>5</v>
      </c>
      <c r="R2" s="125"/>
      <c r="S2" s="126" t="s">
        <v>6</v>
      </c>
      <c r="T2" s="126" t="s">
        <v>7</v>
      </c>
      <c r="U2" s="126" t="s">
        <v>8</v>
      </c>
      <c r="V2" s="124" t="s">
        <v>9</v>
      </c>
      <c r="W2" s="124"/>
    </row>
    <row r="3" spans="2:23" ht="33.75" customHeight="1">
      <c r="B3" s="120"/>
      <c r="C3" s="121"/>
      <c r="D3" s="122"/>
      <c r="E3" s="122"/>
      <c r="F3" s="127" t="s">
        <v>10</v>
      </c>
      <c r="G3" s="128" t="s">
        <v>11</v>
      </c>
      <c r="H3" s="128"/>
      <c r="I3" s="129" t="s">
        <v>12</v>
      </c>
      <c r="J3" s="124"/>
      <c r="K3" s="124"/>
      <c r="L3" s="124"/>
      <c r="M3" s="124"/>
      <c r="N3" s="124"/>
      <c r="O3" s="124"/>
      <c r="P3" s="124"/>
      <c r="Q3" s="125"/>
      <c r="R3" s="125"/>
      <c r="S3" s="126"/>
      <c r="T3" s="126"/>
      <c r="U3" s="126"/>
      <c r="V3" s="124"/>
      <c r="W3" s="124"/>
    </row>
    <row r="4" spans="2:23" ht="34.5" customHeight="1">
      <c r="B4" s="10" t="s">
        <v>13</v>
      </c>
      <c r="C4" s="121"/>
      <c r="D4" s="122"/>
      <c r="E4" s="122"/>
      <c r="F4" s="127"/>
      <c r="G4" s="11" t="s">
        <v>14</v>
      </c>
      <c r="H4" s="11" t="s">
        <v>15</v>
      </c>
      <c r="I4" s="129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12</v>
      </c>
      <c r="Q4" s="12" t="s">
        <v>14</v>
      </c>
      <c r="R4" s="12" t="s">
        <v>15</v>
      </c>
      <c r="S4" s="126"/>
      <c r="T4" s="126"/>
      <c r="U4" s="126"/>
      <c r="V4" s="13" t="s">
        <v>22</v>
      </c>
      <c r="W4" s="9" t="s">
        <v>23</v>
      </c>
    </row>
    <row r="5" spans="2:23" ht="25.5" customHeight="1">
      <c r="B5" s="141" t="s">
        <v>164</v>
      </c>
      <c r="C5" s="89" t="s">
        <v>2</v>
      </c>
      <c r="D5" s="90"/>
      <c r="E5" s="91" t="s">
        <v>27</v>
      </c>
      <c r="F5" s="92"/>
      <c r="G5" s="92"/>
      <c r="H5" s="92"/>
      <c r="I5" s="93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4"/>
      <c r="W5" s="94"/>
    </row>
    <row r="6" spans="1:23" ht="21" customHeight="1">
      <c r="A6" s="1">
        <v>62</v>
      </c>
      <c r="B6" s="141"/>
      <c r="C6" s="95" t="str">
        <f>IF(A6="","VARA",VLOOKUP(A6,'[1]varas'!$A$4:$B$67,2))</f>
        <v>PAJT Floresta</v>
      </c>
      <c r="D6" s="103"/>
      <c r="E6" s="91"/>
      <c r="F6" s="92">
        <f>51+21+3</f>
        <v>75</v>
      </c>
      <c r="G6" s="92">
        <v>10</v>
      </c>
      <c r="H6" s="92">
        <v>0</v>
      </c>
      <c r="I6" s="93">
        <f>SUM(F6:H6)</f>
        <v>85</v>
      </c>
      <c r="J6" s="92">
        <v>48</v>
      </c>
      <c r="K6" s="92">
        <v>13</v>
      </c>
      <c r="L6" s="92">
        <v>2</v>
      </c>
      <c r="M6" s="92">
        <v>1</v>
      </c>
      <c r="N6" s="92">
        <v>0</v>
      </c>
      <c r="O6" s="92">
        <v>21</v>
      </c>
      <c r="P6" s="92">
        <f>SUM(J6:O6)</f>
        <v>85</v>
      </c>
      <c r="Q6" s="92">
        <v>0</v>
      </c>
      <c r="R6" s="92">
        <v>0</v>
      </c>
      <c r="S6" s="92">
        <v>0</v>
      </c>
      <c r="T6" s="92">
        <v>0</v>
      </c>
      <c r="U6" s="92">
        <v>148</v>
      </c>
      <c r="V6" s="94"/>
      <c r="W6" s="94"/>
    </row>
    <row r="7" spans="1:23" ht="20.25" customHeight="1">
      <c r="A7" s="1">
        <v>59</v>
      </c>
      <c r="B7" s="141"/>
      <c r="C7" s="95" t="str">
        <f>IF(A7="","VARA",VLOOKUP(A7,'[1]varas'!$A$4:$B$67,2))</f>
        <v>VT Salgueiro</v>
      </c>
      <c r="D7" s="103"/>
      <c r="E7" s="91"/>
      <c r="F7" s="92">
        <f>12+5+7</f>
        <v>24</v>
      </c>
      <c r="G7" s="92">
        <v>25</v>
      </c>
      <c r="H7" s="92">
        <v>0</v>
      </c>
      <c r="I7" s="93">
        <f>SUM(F7:H7)</f>
        <v>49</v>
      </c>
      <c r="J7" s="92">
        <v>36</v>
      </c>
      <c r="K7" s="92">
        <v>1</v>
      </c>
      <c r="L7" s="92">
        <v>1</v>
      </c>
      <c r="M7" s="92">
        <v>7</v>
      </c>
      <c r="N7" s="92">
        <v>0</v>
      </c>
      <c r="O7" s="92">
        <v>4</v>
      </c>
      <c r="P7" s="92">
        <f>SUM(J7:O7)</f>
        <v>49</v>
      </c>
      <c r="Q7" s="92">
        <v>0</v>
      </c>
      <c r="R7" s="92">
        <v>0</v>
      </c>
      <c r="S7" s="92">
        <v>0</v>
      </c>
      <c r="T7" s="92">
        <v>0</v>
      </c>
      <c r="U7" s="92">
        <v>49</v>
      </c>
      <c r="V7" s="94"/>
      <c r="W7" s="94"/>
    </row>
    <row r="8" spans="2:23" ht="19.5" customHeight="1">
      <c r="B8" s="141"/>
      <c r="C8" s="96" t="s">
        <v>12</v>
      </c>
      <c r="D8" s="97"/>
      <c r="E8" s="98"/>
      <c r="F8" s="99">
        <f>SUM(F5:F7)</f>
        <v>99</v>
      </c>
      <c r="G8" s="99">
        <f>SUM(G5:G7)</f>
        <v>35</v>
      </c>
      <c r="H8" s="99">
        <f>SUM(H5:H7)</f>
        <v>0</v>
      </c>
      <c r="I8" s="100">
        <f>SUM(F8:H8)</f>
        <v>134</v>
      </c>
      <c r="J8" s="99">
        <f aca="true" t="shared" si="0" ref="J8:O8">SUM(J5:J7)</f>
        <v>84</v>
      </c>
      <c r="K8" s="99">
        <f t="shared" si="0"/>
        <v>14</v>
      </c>
      <c r="L8" s="99">
        <f t="shared" si="0"/>
        <v>3</v>
      </c>
      <c r="M8" s="99">
        <f t="shared" si="0"/>
        <v>8</v>
      </c>
      <c r="N8" s="99">
        <f t="shared" si="0"/>
        <v>0</v>
      </c>
      <c r="O8" s="99">
        <f t="shared" si="0"/>
        <v>25</v>
      </c>
      <c r="P8" s="99">
        <f>SUM(J8:O8)</f>
        <v>134</v>
      </c>
      <c r="Q8" s="99">
        <f>SUM(Q5:Q7)</f>
        <v>0</v>
      </c>
      <c r="R8" s="99">
        <f>SUM(R5:R7)</f>
        <v>0</v>
      </c>
      <c r="S8" s="99">
        <f>SUM(S5:S7)</f>
        <v>0</v>
      </c>
      <c r="T8" s="99">
        <f>SUM(T5:T7)</f>
        <v>0</v>
      </c>
      <c r="U8" s="99">
        <f>SUM(U5:U7)</f>
        <v>197</v>
      </c>
      <c r="V8" s="101">
        <f>IF(I8-Q8=0,"",IF(D8="",(P8+S8)/(I8-Q8),IF(AND(D8&lt;&gt;"",(P8+S8)/(I8-Q8)&gt;=50%),(P8+S8)/(I8-Q8),"")))</f>
        <v>1</v>
      </c>
      <c r="W8" s="101">
        <f>IF(I8=O8,"",IF(V8="",0,(P8+Q8+S8-O8)/(I8-O8)))</f>
        <v>1</v>
      </c>
    </row>
    <row r="9" spans="2:28" ht="24.75" customHeight="1">
      <c r="B9" s="130" t="s">
        <v>24</v>
      </c>
      <c r="C9" s="14" t="s">
        <v>2</v>
      </c>
      <c r="D9" s="29"/>
      <c r="E9" s="16" t="s">
        <v>27</v>
      </c>
      <c r="F9" s="15"/>
      <c r="G9" s="15"/>
      <c r="H9" s="15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8"/>
      <c r="W9" s="18"/>
      <c r="AB9" s="19"/>
    </row>
    <row r="10" spans="1:28" ht="24.75" customHeight="1">
      <c r="A10" s="1">
        <v>34</v>
      </c>
      <c r="B10" s="130"/>
      <c r="C10" s="20" t="str">
        <f>IF(A10="","VARA",VLOOKUP(A10,'[1]varas'!$A$4:$B$67,2))</f>
        <v>1ª VT Jaboatão</v>
      </c>
      <c r="D10" s="15"/>
      <c r="E10" s="16"/>
      <c r="F10" s="15">
        <f>27+19+5+6</f>
        <v>57</v>
      </c>
      <c r="G10" s="15">
        <v>0</v>
      </c>
      <c r="H10" s="15">
        <v>0</v>
      </c>
      <c r="I10" s="17">
        <f>SUM(F10:H10)</f>
        <v>57</v>
      </c>
      <c r="J10" s="15">
        <v>11</v>
      </c>
      <c r="K10" s="15">
        <v>12</v>
      </c>
      <c r="L10" s="15">
        <v>5</v>
      </c>
      <c r="M10" s="15">
        <v>6</v>
      </c>
      <c r="N10" s="15">
        <v>0</v>
      </c>
      <c r="O10" s="15">
        <v>19</v>
      </c>
      <c r="P10" s="15">
        <f>SUM(J10:O10)</f>
        <v>53</v>
      </c>
      <c r="Q10" s="15">
        <v>4</v>
      </c>
      <c r="R10" s="15">
        <v>0</v>
      </c>
      <c r="S10" s="15">
        <v>0</v>
      </c>
      <c r="T10" s="15">
        <v>0</v>
      </c>
      <c r="U10" s="15">
        <v>114</v>
      </c>
      <c r="V10" s="18"/>
      <c r="W10" s="18"/>
      <c r="AB10" s="19"/>
    </row>
    <row r="11" spans="1:29" s="27" customFormat="1" ht="22.5" customHeight="1">
      <c r="A11" s="1"/>
      <c r="B11" s="130"/>
      <c r="C11" s="21" t="s">
        <v>12</v>
      </c>
      <c r="D11" s="22"/>
      <c r="E11" s="23"/>
      <c r="F11" s="24">
        <f>SUM(F9:F10)</f>
        <v>57</v>
      </c>
      <c r="G11" s="24">
        <f>SUM(G9:G10)</f>
        <v>0</v>
      </c>
      <c r="H11" s="24">
        <f>SUM(H9:H10)</f>
        <v>0</v>
      </c>
      <c r="I11" s="25">
        <f>SUM(F11:H11)</f>
        <v>57</v>
      </c>
      <c r="J11" s="24">
        <f aca="true" t="shared" si="1" ref="J11:O11">SUM(J9:J10)</f>
        <v>11</v>
      </c>
      <c r="K11" s="24">
        <f t="shared" si="1"/>
        <v>12</v>
      </c>
      <c r="L11" s="24">
        <f t="shared" si="1"/>
        <v>5</v>
      </c>
      <c r="M11" s="24">
        <f t="shared" si="1"/>
        <v>6</v>
      </c>
      <c r="N11" s="24">
        <f t="shared" si="1"/>
        <v>0</v>
      </c>
      <c r="O11" s="24">
        <f t="shared" si="1"/>
        <v>19</v>
      </c>
      <c r="P11" s="24">
        <f>SUM(J11:O11)</f>
        <v>53</v>
      </c>
      <c r="Q11" s="24">
        <f>SUM(Q9:Q10)</f>
        <v>4</v>
      </c>
      <c r="R11" s="24">
        <f>SUM(R9:R10)</f>
        <v>0</v>
      </c>
      <c r="S11" s="24">
        <f>SUM(S9:S10)</f>
        <v>0</v>
      </c>
      <c r="T11" s="24">
        <f>SUM(T9:T10)</f>
        <v>0</v>
      </c>
      <c r="U11" s="24">
        <f>SUM(U9:U10)</f>
        <v>114</v>
      </c>
      <c r="V11" s="26">
        <f>IF(I11-Q11=0,"",IF(D11="",(P11+S11)/(I11-Q11),IF(AND(D11&lt;&gt;"",(P11+S11)/(I11-Q11)&gt;=50%),(P11+S11)/(I11-Q11),"")))</f>
        <v>1</v>
      </c>
      <c r="W11" s="26">
        <f>IF(I11=O11,"",IF(V11="",0,(P11+Q11+S11-O11)/(I11-O11)))</f>
        <v>1</v>
      </c>
      <c r="AC11" s="28"/>
    </row>
    <row r="12" spans="1:29" s="30" customFormat="1" ht="22.5" customHeight="1">
      <c r="A12" s="1"/>
      <c r="B12" s="131" t="s">
        <v>25</v>
      </c>
      <c r="C12" s="14" t="s">
        <v>156</v>
      </c>
      <c r="D12" s="29" t="s">
        <v>179</v>
      </c>
      <c r="E12" s="16" t="s">
        <v>180</v>
      </c>
      <c r="F12" s="15"/>
      <c r="G12" s="15"/>
      <c r="H12" s="15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8"/>
      <c r="W12" s="18"/>
      <c r="AC12" s="31"/>
    </row>
    <row r="13" spans="1:29" s="30" customFormat="1" ht="19.5" customHeight="1">
      <c r="A13" s="1">
        <v>2</v>
      </c>
      <c r="B13" s="131"/>
      <c r="C13" s="20" t="str">
        <f>IF(A13="","VARA",VLOOKUP(A13,'[1]varas'!$A$4:$B$67,2))</f>
        <v>2ª VT Recife</v>
      </c>
      <c r="D13" s="29"/>
      <c r="E13" s="16"/>
      <c r="F13" s="15">
        <v>0</v>
      </c>
      <c r="G13" s="15">
        <v>0</v>
      </c>
      <c r="H13" s="15">
        <v>0</v>
      </c>
      <c r="I13" s="17">
        <f>SUM(F13:H13)</f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f>SUM(J13:O13)</f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8"/>
      <c r="W13" s="18"/>
      <c r="AC13" s="31"/>
    </row>
    <row r="14" spans="1:28" s="30" customFormat="1" ht="17.25" customHeight="1">
      <c r="A14" s="32"/>
      <c r="B14" s="131"/>
      <c r="C14" s="21" t="s">
        <v>12</v>
      </c>
      <c r="D14" s="33"/>
      <c r="E14" s="23"/>
      <c r="F14" s="24">
        <f>SUM(F12:F13)</f>
        <v>0</v>
      </c>
      <c r="G14" s="24">
        <f>SUM(G12:G13)</f>
        <v>0</v>
      </c>
      <c r="H14" s="24">
        <f>SUM(H12:H13)</f>
        <v>0</v>
      </c>
      <c r="I14" s="25">
        <f>SUM(F14:H14)</f>
        <v>0</v>
      </c>
      <c r="J14" s="24">
        <f aca="true" t="shared" si="2" ref="J14:O14">SUM(J12:J13)</f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>SUM(J14:O14)</f>
        <v>0</v>
      </c>
      <c r="Q14" s="24">
        <f>SUM(Q12:Q13)</f>
        <v>0</v>
      </c>
      <c r="R14" s="24">
        <f>SUM(R12:R13)</f>
        <v>0</v>
      </c>
      <c r="S14" s="24">
        <f>SUM(S12:S13)</f>
        <v>0</v>
      </c>
      <c r="T14" s="24">
        <f>SUM(T12:T13)</f>
        <v>0</v>
      </c>
      <c r="U14" s="24">
        <f>SUM(U12:U13)</f>
        <v>0</v>
      </c>
      <c r="V14" s="26">
        <f>IF(I14-Q14=0,"",IF(D14="",(P14+S14)/(I14-Q14),IF(AND(D14&lt;&gt;"",(P14+S14)/(I14-Q14)&gt;=50%),(P14+S14)/(I14-Q14),"")))</f>
      </c>
      <c r="W14" s="26">
        <f>IF(I14=O14,"",IF(V14="",0,(P14+Q14+S14-O14)/(I14-O14)))</f>
      </c>
      <c r="AB14" s="34"/>
    </row>
    <row r="15" spans="1:28" s="30" customFormat="1" ht="26.25" customHeight="1">
      <c r="A15" s="32"/>
      <c r="B15" s="131" t="s">
        <v>26</v>
      </c>
      <c r="C15" s="14" t="s">
        <v>2</v>
      </c>
      <c r="D15" s="15"/>
      <c r="E15" s="16" t="s">
        <v>27</v>
      </c>
      <c r="F15" s="15"/>
      <c r="G15" s="15"/>
      <c r="H15" s="15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8"/>
      <c r="W15" s="18"/>
      <c r="AB15" s="34"/>
    </row>
    <row r="16" spans="1:28" s="30" customFormat="1" ht="26.25" customHeight="1">
      <c r="A16" s="32">
        <v>19</v>
      </c>
      <c r="B16" s="131"/>
      <c r="C16" s="20" t="str">
        <f>IF(A16="","VARA",VLOOKUP(A16,'[1]varas'!$A$4:$B$67,2))</f>
        <v>19ª VT Recife</v>
      </c>
      <c r="D16" s="15"/>
      <c r="E16" s="16"/>
      <c r="F16" s="15">
        <v>1</v>
      </c>
      <c r="G16" s="15">
        <v>0</v>
      </c>
      <c r="H16" s="15">
        <v>0</v>
      </c>
      <c r="I16" s="17">
        <f>SUM(F16:H16)</f>
        <v>1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f>SUM(J16:O16)</f>
        <v>1</v>
      </c>
      <c r="Q16" s="15">
        <v>0</v>
      </c>
      <c r="R16" s="15">
        <v>0</v>
      </c>
      <c r="S16" s="15">
        <v>0</v>
      </c>
      <c r="T16" s="15">
        <v>0</v>
      </c>
      <c r="U16" s="15">
        <v>1</v>
      </c>
      <c r="V16" s="18"/>
      <c r="W16" s="18"/>
      <c r="AB16" s="34"/>
    </row>
    <row r="17" spans="1:28" s="30" customFormat="1" ht="20.25" customHeight="1">
      <c r="A17" s="32">
        <v>20</v>
      </c>
      <c r="B17" s="131"/>
      <c r="C17" s="20" t="str">
        <f>IF(A17="","VARA",VLOOKUP(A17,'[1]varas'!$A$4:$B$67,2))</f>
        <v>20ª VT Recife</v>
      </c>
      <c r="D17" s="15"/>
      <c r="E17" s="16"/>
      <c r="F17" s="15">
        <f>23+7+4+2</f>
        <v>36</v>
      </c>
      <c r="G17" s="15">
        <v>0</v>
      </c>
      <c r="H17" s="15">
        <v>0</v>
      </c>
      <c r="I17" s="17">
        <f>SUM(F17:H17)</f>
        <v>36</v>
      </c>
      <c r="J17" s="15">
        <v>14</v>
      </c>
      <c r="K17" s="15">
        <v>9</v>
      </c>
      <c r="L17" s="15">
        <v>4</v>
      </c>
      <c r="M17" s="15">
        <v>2</v>
      </c>
      <c r="N17" s="15">
        <v>0</v>
      </c>
      <c r="O17" s="15">
        <v>7</v>
      </c>
      <c r="P17" s="15">
        <f>SUM(J17:O17)</f>
        <v>36</v>
      </c>
      <c r="Q17" s="15">
        <v>0</v>
      </c>
      <c r="R17" s="15">
        <v>0</v>
      </c>
      <c r="S17" s="15">
        <v>0</v>
      </c>
      <c r="T17" s="15">
        <v>0</v>
      </c>
      <c r="U17" s="15">
        <v>73</v>
      </c>
      <c r="V17" s="18"/>
      <c r="W17" s="18"/>
      <c r="AB17" s="34"/>
    </row>
    <row r="18" spans="1:28" s="30" customFormat="1" ht="18.75" customHeight="1">
      <c r="A18" s="32"/>
      <c r="B18" s="131"/>
      <c r="C18" s="21" t="s">
        <v>12</v>
      </c>
      <c r="D18" s="33"/>
      <c r="E18" s="23"/>
      <c r="F18" s="24">
        <f>SUM(F15:F17)</f>
        <v>37</v>
      </c>
      <c r="G18" s="24">
        <f>SUM(G15:G17)</f>
        <v>0</v>
      </c>
      <c r="H18" s="24">
        <f>SUM(H15:H17)</f>
        <v>0</v>
      </c>
      <c r="I18" s="25">
        <f>SUM(F18:H18)</f>
        <v>37</v>
      </c>
      <c r="J18" s="24">
        <f aca="true" t="shared" si="3" ref="J18:O18">SUM(J15:J17)</f>
        <v>14</v>
      </c>
      <c r="K18" s="24">
        <f t="shared" si="3"/>
        <v>9</v>
      </c>
      <c r="L18" s="24">
        <f t="shared" si="3"/>
        <v>4</v>
      </c>
      <c r="M18" s="24">
        <f t="shared" si="3"/>
        <v>2</v>
      </c>
      <c r="N18" s="24">
        <f t="shared" si="3"/>
        <v>0</v>
      </c>
      <c r="O18" s="24">
        <f t="shared" si="3"/>
        <v>8</v>
      </c>
      <c r="P18" s="24">
        <f>SUM(J18:O18)</f>
        <v>37</v>
      </c>
      <c r="Q18" s="24">
        <f>SUM(Q15:Q17)</f>
        <v>0</v>
      </c>
      <c r="R18" s="24">
        <f>SUM(R15:R17)</f>
        <v>0</v>
      </c>
      <c r="S18" s="24">
        <f>SUM(S15:S17)</f>
        <v>0</v>
      </c>
      <c r="T18" s="24">
        <f>SUM(T15:T17)</f>
        <v>0</v>
      </c>
      <c r="U18" s="24">
        <f>SUM(U15:U17)</f>
        <v>74</v>
      </c>
      <c r="V18" s="26">
        <f>IF(I18-Q18=0,"",IF(D18="",(P18+S18)/(I18-Q18),IF(AND(D18&lt;&gt;"",(P18+S18)/(I18-Q18)&gt;=50%),(P18+S18)/(I18-Q18),"")))</f>
        <v>1</v>
      </c>
      <c r="W18" s="26">
        <f>IF(I18=O18,"",IF(V18="",0,(P18+Q18+S18-O18)/(I18-O18)))</f>
        <v>1</v>
      </c>
      <c r="AB18" s="34"/>
    </row>
    <row r="19" spans="1:28" s="30" customFormat="1" ht="22.5" customHeight="1">
      <c r="A19" s="32"/>
      <c r="B19" s="131" t="s">
        <v>28</v>
      </c>
      <c r="C19" s="14" t="s">
        <v>2</v>
      </c>
      <c r="D19" s="29"/>
      <c r="E19" s="16" t="s">
        <v>27</v>
      </c>
      <c r="F19" s="15"/>
      <c r="G19" s="15"/>
      <c r="H19" s="15"/>
      <c r="I19" s="1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8"/>
      <c r="W19" s="18"/>
      <c r="AB19" s="34"/>
    </row>
    <row r="20" spans="1:28" s="30" customFormat="1" ht="21.75" customHeight="1">
      <c r="A20" s="32">
        <v>3</v>
      </c>
      <c r="B20" s="131"/>
      <c r="C20" s="20" t="str">
        <f>IF(A20="","VARA",VLOOKUP(A20,'[1]varas'!$A$4:$B$67,2))</f>
        <v>3ª VT Recife</v>
      </c>
      <c r="D20" s="29"/>
      <c r="E20" s="16"/>
      <c r="F20" s="15">
        <f>37+22+2+9</f>
        <v>70</v>
      </c>
      <c r="G20" s="15">
        <v>0</v>
      </c>
      <c r="H20" s="15">
        <v>1</v>
      </c>
      <c r="I20" s="17">
        <f>SUM(F20:H20)</f>
        <v>71</v>
      </c>
      <c r="J20" s="15">
        <v>18</v>
      </c>
      <c r="K20" s="15">
        <v>11</v>
      </c>
      <c r="L20" s="15">
        <v>2</v>
      </c>
      <c r="M20" s="15">
        <v>8</v>
      </c>
      <c r="N20" s="15">
        <v>0</v>
      </c>
      <c r="O20" s="15">
        <v>22</v>
      </c>
      <c r="P20" s="15">
        <f>SUM(J20:O20)</f>
        <v>61</v>
      </c>
      <c r="Q20" s="15">
        <v>10</v>
      </c>
      <c r="R20" s="15">
        <v>0</v>
      </c>
      <c r="S20" s="15">
        <v>0</v>
      </c>
      <c r="T20" s="15">
        <v>0</v>
      </c>
      <c r="U20" s="15">
        <v>96</v>
      </c>
      <c r="V20" s="18"/>
      <c r="W20" s="18"/>
      <c r="AB20" s="34"/>
    </row>
    <row r="21" spans="1:28" s="37" customFormat="1" ht="18" customHeight="1">
      <c r="A21" s="35"/>
      <c r="B21" s="131"/>
      <c r="C21" s="21" t="s">
        <v>12</v>
      </c>
      <c r="D21" s="33"/>
      <c r="E21" s="23"/>
      <c r="F21" s="24">
        <f>SUM(F19:F20)</f>
        <v>70</v>
      </c>
      <c r="G21" s="24">
        <f>SUM(G19:G20)</f>
        <v>0</v>
      </c>
      <c r="H21" s="24">
        <f>SUM(H19:H20)</f>
        <v>1</v>
      </c>
      <c r="I21" s="25">
        <f>SUM(F21:H21)</f>
        <v>71</v>
      </c>
      <c r="J21" s="24">
        <f aca="true" t="shared" si="4" ref="J21:O21">SUM(J19:J20)</f>
        <v>18</v>
      </c>
      <c r="K21" s="24">
        <f t="shared" si="4"/>
        <v>11</v>
      </c>
      <c r="L21" s="24">
        <f t="shared" si="4"/>
        <v>2</v>
      </c>
      <c r="M21" s="24">
        <f t="shared" si="4"/>
        <v>8</v>
      </c>
      <c r="N21" s="24">
        <f t="shared" si="4"/>
        <v>0</v>
      </c>
      <c r="O21" s="24">
        <f t="shared" si="4"/>
        <v>22</v>
      </c>
      <c r="P21" s="24">
        <f>SUM(J21:O21)</f>
        <v>61</v>
      </c>
      <c r="Q21" s="24">
        <f>SUM(Q19:Q20)</f>
        <v>10</v>
      </c>
      <c r="R21" s="24">
        <f>SUM(R19:R20)</f>
        <v>0</v>
      </c>
      <c r="S21" s="24">
        <f>SUM(S19:S20)</f>
        <v>0</v>
      </c>
      <c r="T21" s="24">
        <f>SUM(T19:T20)</f>
        <v>0</v>
      </c>
      <c r="U21" s="24">
        <f>SUM(U19:U20)</f>
        <v>96</v>
      </c>
      <c r="V21" s="26">
        <f>IF(I21-Q21=0,"",IF(D21="",(P21+S21)/(I21-Q21),IF(AND(D21&lt;&gt;"",(P21+S21)/(I21-Q21)&gt;=50%),(P21+S21)/(I21-Q21),"")))</f>
        <v>1</v>
      </c>
      <c r="W21" s="26">
        <f>IF(I21=O21,"",IF(V21="",0,(P21+Q21+S21-O21)/(I21-O21)))</f>
        <v>1</v>
      </c>
      <c r="X21" s="36"/>
      <c r="AB21" s="38"/>
    </row>
    <row r="22" spans="1:28" s="30" customFormat="1" ht="24" customHeight="1">
      <c r="A22" s="32"/>
      <c r="B22" s="131" t="s">
        <v>29</v>
      </c>
      <c r="C22" s="14" t="s">
        <v>2</v>
      </c>
      <c r="D22" s="29" t="s">
        <v>30</v>
      </c>
      <c r="E22" s="16" t="s">
        <v>193</v>
      </c>
      <c r="F22" s="15"/>
      <c r="G22" s="15"/>
      <c r="H22" s="15"/>
      <c r="I22" s="17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8"/>
      <c r="W22" s="18"/>
      <c r="AB22" s="34"/>
    </row>
    <row r="23" spans="1:28" s="30" customFormat="1" ht="18" customHeight="1">
      <c r="A23" s="32">
        <v>70</v>
      </c>
      <c r="B23" s="131"/>
      <c r="C23" s="20" t="s">
        <v>169</v>
      </c>
      <c r="D23" s="15"/>
      <c r="E23" s="16"/>
      <c r="F23" s="15">
        <f>8+19+2+5</f>
        <v>34</v>
      </c>
      <c r="G23" s="15">
        <v>0</v>
      </c>
      <c r="H23" s="15">
        <v>0</v>
      </c>
      <c r="I23" s="17">
        <f>SUM(F23:H23)</f>
        <v>34</v>
      </c>
      <c r="J23" s="15">
        <v>8</v>
      </c>
      <c r="K23" s="15">
        <v>0</v>
      </c>
      <c r="L23" s="15">
        <v>2</v>
      </c>
      <c r="M23" s="15">
        <v>5</v>
      </c>
      <c r="N23" s="15">
        <v>0</v>
      </c>
      <c r="O23" s="15">
        <v>19</v>
      </c>
      <c r="P23" s="15">
        <f>SUM(J23:O23)</f>
        <v>34</v>
      </c>
      <c r="Q23" s="15">
        <v>0</v>
      </c>
      <c r="R23" s="15">
        <v>0</v>
      </c>
      <c r="S23" s="15">
        <v>0</v>
      </c>
      <c r="T23" s="15">
        <v>0</v>
      </c>
      <c r="U23" s="15">
        <v>104</v>
      </c>
      <c r="V23" s="18"/>
      <c r="W23" s="18"/>
      <c r="AB23" s="34"/>
    </row>
    <row r="24" spans="1:41" s="39" customFormat="1" ht="20.25" customHeight="1">
      <c r="A24" s="32"/>
      <c r="B24" s="131"/>
      <c r="C24" s="21" t="s">
        <v>12</v>
      </c>
      <c r="D24" s="33"/>
      <c r="E24" s="23"/>
      <c r="F24" s="24">
        <f>SUM(F22:F23)</f>
        <v>34</v>
      </c>
      <c r="G24" s="24">
        <f>SUM(G22:G23)</f>
        <v>0</v>
      </c>
      <c r="H24" s="24">
        <f>SUM(H22:H23)</f>
        <v>0</v>
      </c>
      <c r="I24" s="25">
        <f>SUM(F24:H24)</f>
        <v>34</v>
      </c>
      <c r="J24" s="24">
        <f aca="true" t="shared" si="5" ref="J24:O24">SUM(J22:J23)</f>
        <v>8</v>
      </c>
      <c r="K24" s="24">
        <f t="shared" si="5"/>
        <v>0</v>
      </c>
      <c r="L24" s="24">
        <f t="shared" si="5"/>
        <v>2</v>
      </c>
      <c r="M24" s="24">
        <f t="shared" si="5"/>
        <v>5</v>
      </c>
      <c r="N24" s="24">
        <f t="shared" si="5"/>
        <v>0</v>
      </c>
      <c r="O24" s="24">
        <f t="shared" si="5"/>
        <v>19</v>
      </c>
      <c r="P24" s="24">
        <f>SUM(J24:O24)</f>
        <v>34</v>
      </c>
      <c r="Q24" s="24">
        <f>SUM(Q22:Q23)</f>
        <v>0</v>
      </c>
      <c r="R24" s="24">
        <f>SUM(R22:R23)</f>
        <v>0</v>
      </c>
      <c r="S24" s="24">
        <f>SUM(S22:S23)</f>
        <v>0</v>
      </c>
      <c r="T24" s="24">
        <f>SUM(T22:T23)</f>
        <v>0</v>
      </c>
      <c r="U24" s="24">
        <f>SUM(U22:U23)</f>
        <v>104</v>
      </c>
      <c r="V24" s="26">
        <f>IF(I24-Q24=0,"",IF(D24="",(P24+S24)/(I24-Q24),IF(AND(D24&lt;&gt;"",(P24+S24)/(I24-Q24)&gt;=50%),(P24+S24)/(I24-Q24),"")))</f>
        <v>1</v>
      </c>
      <c r="W24" s="26">
        <f>IF(I24=O24,"",IF(V24="",0,(P24+Q24+S24-O24)/(I24-O24)))</f>
        <v>1</v>
      </c>
      <c r="X24" s="30"/>
      <c r="Y24" s="30"/>
      <c r="Z24" s="30"/>
      <c r="AA24" s="30"/>
      <c r="AB24" s="3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28" s="30" customFormat="1" ht="24" customHeight="1">
      <c r="A25" s="32"/>
      <c r="B25" s="131" t="s">
        <v>31</v>
      </c>
      <c r="C25" s="14" t="s">
        <v>2</v>
      </c>
      <c r="D25" s="29" t="s">
        <v>43</v>
      </c>
      <c r="E25" s="16" t="s">
        <v>194</v>
      </c>
      <c r="F25" s="15"/>
      <c r="G25" s="15"/>
      <c r="H25" s="15"/>
      <c r="I25" s="17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8"/>
      <c r="W25" s="18"/>
      <c r="AB25" s="34"/>
    </row>
    <row r="26" spans="1:28" s="30" customFormat="1" ht="19.5" customHeight="1">
      <c r="A26" s="32">
        <v>61</v>
      </c>
      <c r="B26" s="131"/>
      <c r="C26" s="20" t="str">
        <f>IF(A26="","VARA",VLOOKUP(A26,'[1]varas'!$A$4:$B$67,2))</f>
        <v>VT Vitória</v>
      </c>
      <c r="D26" s="15"/>
      <c r="E26" s="17"/>
      <c r="F26" s="15">
        <f>17+4</f>
        <v>21</v>
      </c>
      <c r="G26" s="15">
        <v>0</v>
      </c>
      <c r="H26" s="15">
        <v>3</v>
      </c>
      <c r="I26" s="17">
        <f>SUM(F26:H26)</f>
        <v>24</v>
      </c>
      <c r="J26" s="15">
        <v>17</v>
      </c>
      <c r="K26" s="15">
        <v>0</v>
      </c>
      <c r="L26" s="15">
        <v>4</v>
      </c>
      <c r="M26" s="15">
        <v>0</v>
      </c>
      <c r="N26" s="15">
        <v>0</v>
      </c>
      <c r="O26" s="15">
        <v>0</v>
      </c>
      <c r="P26" s="15">
        <f>SUM(J26:O26)</f>
        <v>21</v>
      </c>
      <c r="Q26" s="15">
        <v>0</v>
      </c>
      <c r="R26" s="15">
        <v>3</v>
      </c>
      <c r="S26" s="15">
        <v>0</v>
      </c>
      <c r="T26" s="15">
        <v>0</v>
      </c>
      <c r="U26" s="15">
        <v>0</v>
      </c>
      <c r="V26" s="18"/>
      <c r="W26" s="18"/>
      <c r="AB26" s="34"/>
    </row>
    <row r="27" spans="1:28" s="30" customFormat="1" ht="19.5" customHeight="1">
      <c r="A27" s="32"/>
      <c r="B27" s="131"/>
      <c r="C27" s="21" t="s">
        <v>12</v>
      </c>
      <c r="D27" s="33"/>
      <c r="E27" s="23"/>
      <c r="F27" s="24">
        <f>SUM(F25:F26)</f>
        <v>21</v>
      </c>
      <c r="G27" s="24">
        <f>SUM(G25:G26)</f>
        <v>0</v>
      </c>
      <c r="H27" s="24">
        <f>SUM(H25:H26)</f>
        <v>3</v>
      </c>
      <c r="I27" s="25">
        <f>SUM(F27:H27)</f>
        <v>24</v>
      </c>
      <c r="J27" s="24">
        <f aca="true" t="shared" si="6" ref="J27:O27">SUM(J25:J26)</f>
        <v>17</v>
      </c>
      <c r="K27" s="24">
        <f t="shared" si="6"/>
        <v>0</v>
      </c>
      <c r="L27" s="24">
        <f t="shared" si="6"/>
        <v>4</v>
      </c>
      <c r="M27" s="24">
        <f t="shared" si="6"/>
        <v>0</v>
      </c>
      <c r="N27" s="24">
        <f t="shared" si="6"/>
        <v>0</v>
      </c>
      <c r="O27" s="24">
        <f t="shared" si="6"/>
        <v>0</v>
      </c>
      <c r="P27" s="24">
        <f>SUM(J27:O27)</f>
        <v>21</v>
      </c>
      <c r="Q27" s="24">
        <f>SUM(Q25:Q26)</f>
        <v>0</v>
      </c>
      <c r="R27" s="24">
        <f>SUM(R25:R26)</f>
        <v>3</v>
      </c>
      <c r="S27" s="24">
        <f>SUM(S25:S26)</f>
        <v>0</v>
      </c>
      <c r="T27" s="24">
        <f>SUM(T25:T26)</f>
        <v>0</v>
      </c>
      <c r="U27" s="24">
        <f>SUM(U25:U26)</f>
        <v>0</v>
      </c>
      <c r="V27" s="26">
        <f>IF(I27-Q27=0,"",IF(D27="",(P27+S27)/(I27-Q27),IF(AND(D27&lt;&gt;"",(P27+S27)/(I27-Q27)&gt;=50%),(P27+S27)/(I27-Q27),"")))</f>
        <v>0.875</v>
      </c>
      <c r="W27" s="26">
        <f>IF(I27=O27,"",IF(V27="",0,(P27+Q27+S27-O27)/(I27-O27)))</f>
        <v>0.875</v>
      </c>
      <c r="AB27" s="34"/>
    </row>
    <row r="28" spans="1:41" s="39" customFormat="1" ht="23.25" customHeight="1">
      <c r="A28" s="32"/>
      <c r="B28" s="132" t="s">
        <v>32</v>
      </c>
      <c r="C28" s="105" t="s">
        <v>2</v>
      </c>
      <c r="D28" s="29" t="s">
        <v>43</v>
      </c>
      <c r="E28" s="16" t="s">
        <v>195</v>
      </c>
      <c r="F28" s="15"/>
      <c r="G28" s="15"/>
      <c r="H28" s="15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8"/>
      <c r="W28" s="18"/>
      <c r="X28" s="30"/>
      <c r="Y28" s="30"/>
      <c r="Z28" s="30"/>
      <c r="AA28" s="30"/>
      <c r="AB28" s="3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39" customFormat="1" ht="20.25" customHeight="1">
      <c r="A29" s="32">
        <v>7</v>
      </c>
      <c r="B29" s="133"/>
      <c r="C29" s="106" t="str">
        <f>IF(A29="","VARA",VLOOKUP(A29,'[1]varas'!$A$4:$B$67,2))</f>
        <v>7ª VT Recife</v>
      </c>
      <c r="D29" s="29"/>
      <c r="E29" s="16"/>
      <c r="F29" s="15">
        <v>6</v>
      </c>
      <c r="G29" s="15">
        <v>0</v>
      </c>
      <c r="H29" s="15">
        <v>0</v>
      </c>
      <c r="I29" s="17">
        <f>SUM(F29:H29)</f>
        <v>6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2</v>
      </c>
      <c r="P29" s="15">
        <f>SUM(J29:O29)</f>
        <v>2</v>
      </c>
      <c r="Q29" s="15">
        <v>4</v>
      </c>
      <c r="R29" s="15">
        <v>0</v>
      </c>
      <c r="S29" s="15">
        <v>0</v>
      </c>
      <c r="T29" s="15">
        <v>0</v>
      </c>
      <c r="U29" s="15">
        <v>10</v>
      </c>
      <c r="V29" s="18"/>
      <c r="W29" s="18"/>
      <c r="X29" s="30"/>
      <c r="Y29" s="30"/>
      <c r="Z29" s="30"/>
      <c r="AA29" s="30"/>
      <c r="AB29" s="3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s="39" customFormat="1" ht="21.75" customHeight="1">
      <c r="A30" s="32">
        <v>16</v>
      </c>
      <c r="B30" s="134"/>
      <c r="C30" s="106" t="str">
        <f>IF(A30="","VARA",VLOOKUP(A30,'[1]varas'!$A$4:$B$67,2))</f>
        <v>16ª VT Recife</v>
      </c>
      <c r="D30" s="29"/>
      <c r="E30" s="16"/>
      <c r="F30" s="15">
        <f>28+5+5+3</f>
        <v>41</v>
      </c>
      <c r="G30" s="15">
        <v>3</v>
      </c>
      <c r="H30" s="15">
        <v>36</v>
      </c>
      <c r="I30" s="17">
        <f>SUM(F30:H30)</f>
        <v>80</v>
      </c>
      <c r="J30" s="15">
        <v>16</v>
      </c>
      <c r="K30" s="15">
        <v>2</v>
      </c>
      <c r="L30" s="15">
        <v>5</v>
      </c>
      <c r="M30" s="15">
        <v>3</v>
      </c>
      <c r="N30" s="15">
        <v>0</v>
      </c>
      <c r="O30" s="15">
        <v>5</v>
      </c>
      <c r="P30" s="15">
        <f>SUM(J30:O30)</f>
        <v>31</v>
      </c>
      <c r="Q30" s="15">
        <v>27</v>
      </c>
      <c r="R30" s="15">
        <v>22</v>
      </c>
      <c r="S30" s="15">
        <v>0</v>
      </c>
      <c r="T30" s="15">
        <v>0</v>
      </c>
      <c r="U30" s="15">
        <v>40</v>
      </c>
      <c r="V30" s="18"/>
      <c r="W30" s="18"/>
      <c r="X30" s="30"/>
      <c r="Y30" s="30"/>
      <c r="Z30" s="30"/>
      <c r="AA30" s="30"/>
      <c r="AB30" s="34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28" s="30" customFormat="1" ht="20.25" customHeight="1">
      <c r="A31" s="32"/>
      <c r="B31" s="135"/>
      <c r="C31" s="107" t="s">
        <v>12</v>
      </c>
      <c r="D31" s="33"/>
      <c r="E31" s="23"/>
      <c r="F31" s="24">
        <f>SUM(F28:F30)</f>
        <v>47</v>
      </c>
      <c r="G31" s="24">
        <f>SUM(G28:G30)</f>
        <v>3</v>
      </c>
      <c r="H31" s="24">
        <f>SUM(H28:H30)</f>
        <v>36</v>
      </c>
      <c r="I31" s="40">
        <f>SUM(F31:H31)</f>
        <v>86</v>
      </c>
      <c r="J31" s="24">
        <f aca="true" t="shared" si="7" ref="J31:O31">SUM(J28:J30)</f>
        <v>16</v>
      </c>
      <c r="K31" s="24">
        <f t="shared" si="7"/>
        <v>2</v>
      </c>
      <c r="L31" s="24">
        <f t="shared" si="7"/>
        <v>5</v>
      </c>
      <c r="M31" s="24">
        <f t="shared" si="7"/>
        <v>3</v>
      </c>
      <c r="N31" s="24">
        <f t="shared" si="7"/>
        <v>0</v>
      </c>
      <c r="O31" s="24">
        <f t="shared" si="7"/>
        <v>7</v>
      </c>
      <c r="P31" s="24">
        <f>SUM(J31:O31)</f>
        <v>33</v>
      </c>
      <c r="Q31" s="24">
        <f>SUM(Q28:Q30)</f>
        <v>31</v>
      </c>
      <c r="R31" s="24">
        <f>SUM(R28:R30)</f>
        <v>22</v>
      </c>
      <c r="S31" s="24">
        <f>SUM(S28:S30)</f>
        <v>0</v>
      </c>
      <c r="T31" s="24">
        <f>SUM(T28:T30)</f>
        <v>0</v>
      </c>
      <c r="U31" s="24">
        <f>SUM(U28:U30)</f>
        <v>50</v>
      </c>
      <c r="V31" s="26">
        <f>IF(I31-Q31=0,"",IF(D31="",(P31+S31)/(I31-Q31),IF(AND(D31&lt;&gt;"",(P31+S31)/(I31-Q31)&gt;=50%),(P31+S31)/(I31-Q31),"")))</f>
        <v>0.6</v>
      </c>
      <c r="W31" s="26">
        <f>IF(I31=O31,"",IF(V31="",0,(P31+Q31+S31-O31)/(I31-O31)))</f>
        <v>0.7215189873417721</v>
      </c>
      <c r="AB31" s="34"/>
    </row>
    <row r="32" spans="1:28" s="30" customFormat="1" ht="23.25" customHeight="1">
      <c r="A32" s="32"/>
      <c r="B32" s="132" t="s">
        <v>33</v>
      </c>
      <c r="C32" s="105" t="s">
        <v>2</v>
      </c>
      <c r="D32" s="15"/>
      <c r="E32" s="17" t="s">
        <v>27</v>
      </c>
      <c r="F32" s="15"/>
      <c r="G32" s="15"/>
      <c r="H32" s="15"/>
      <c r="I32" s="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8"/>
      <c r="W32" s="18"/>
      <c r="AB32" s="34"/>
    </row>
    <row r="33" spans="1:28" s="30" customFormat="1" ht="19.5" customHeight="1">
      <c r="A33" s="32">
        <v>37</v>
      </c>
      <c r="B33" s="134"/>
      <c r="C33" s="106" t="str">
        <f>IF(A33="","VARA",VLOOKUP(A33,'[1]varas'!$A$4:$B$67,2))</f>
        <v>4ª VT Jaboatão</v>
      </c>
      <c r="D33" s="15"/>
      <c r="E33" s="17"/>
      <c r="F33" s="15">
        <f>35+21+4+3</f>
        <v>63</v>
      </c>
      <c r="G33" s="15">
        <v>20</v>
      </c>
      <c r="H33" s="15">
        <v>22</v>
      </c>
      <c r="I33" s="17">
        <f>SUM(F33:H33)</f>
        <v>105</v>
      </c>
      <c r="J33" s="15">
        <v>33</v>
      </c>
      <c r="K33" s="15">
        <v>12</v>
      </c>
      <c r="L33" s="15">
        <v>4</v>
      </c>
      <c r="M33" s="15">
        <v>3</v>
      </c>
      <c r="N33" s="15">
        <v>0</v>
      </c>
      <c r="O33" s="15">
        <v>21</v>
      </c>
      <c r="P33" s="15">
        <f>SUM(J33:O33)</f>
        <v>73</v>
      </c>
      <c r="Q33" s="15">
        <v>17</v>
      </c>
      <c r="R33" s="15">
        <v>15</v>
      </c>
      <c r="S33" s="15">
        <v>0</v>
      </c>
      <c r="T33" s="15">
        <v>0</v>
      </c>
      <c r="U33" s="15">
        <v>118</v>
      </c>
      <c r="V33" s="18"/>
      <c r="W33" s="18"/>
      <c r="AB33" s="34"/>
    </row>
    <row r="34" spans="1:28" s="30" customFormat="1" ht="17.25" customHeight="1">
      <c r="A34" s="32"/>
      <c r="B34" s="135"/>
      <c r="C34" s="107" t="s">
        <v>12</v>
      </c>
      <c r="D34" s="33"/>
      <c r="E34" s="23"/>
      <c r="F34" s="24">
        <f>SUM(F32:F33)</f>
        <v>63</v>
      </c>
      <c r="G34" s="24">
        <f>SUM(G32:G33)</f>
        <v>20</v>
      </c>
      <c r="H34" s="24">
        <f>SUM(H32:H33)</f>
        <v>22</v>
      </c>
      <c r="I34" s="25">
        <f>SUM(F34:H34)</f>
        <v>105</v>
      </c>
      <c r="J34" s="24">
        <f aca="true" t="shared" si="8" ref="J34:O34">SUM(J32:J33)</f>
        <v>33</v>
      </c>
      <c r="K34" s="24">
        <f t="shared" si="8"/>
        <v>12</v>
      </c>
      <c r="L34" s="24">
        <f t="shared" si="8"/>
        <v>4</v>
      </c>
      <c r="M34" s="24">
        <f t="shared" si="8"/>
        <v>3</v>
      </c>
      <c r="N34" s="24">
        <f t="shared" si="8"/>
        <v>0</v>
      </c>
      <c r="O34" s="24">
        <f t="shared" si="8"/>
        <v>21</v>
      </c>
      <c r="P34" s="24">
        <f>SUM(J34:O34)</f>
        <v>73</v>
      </c>
      <c r="Q34" s="24">
        <f>SUM(Q32:Q33)</f>
        <v>17</v>
      </c>
      <c r="R34" s="24">
        <f>SUM(R32:R33)</f>
        <v>15</v>
      </c>
      <c r="S34" s="24">
        <f>SUM(S32:S33)</f>
        <v>0</v>
      </c>
      <c r="T34" s="24">
        <f>SUM(T32:T33)</f>
        <v>0</v>
      </c>
      <c r="U34" s="24">
        <f>SUM(U32:U33)</f>
        <v>118</v>
      </c>
      <c r="V34" s="26">
        <f>IF(I34-Q34=0,"",IF(D34="",(P34+S34)/(I34-Q34),IF(AND(D34&lt;&gt;"",(P34+S34)/(I34-Q34)&gt;=50%),(P34+S34)/(I34-Q34),"")))</f>
        <v>0.8295454545454546</v>
      </c>
      <c r="W34" s="26">
        <f>IF(I34=O34,"",IF(V34="",0,(P34+Q34+S34-O34)/(I34-O34)))</f>
        <v>0.8214285714285714</v>
      </c>
      <c r="AB34" s="34"/>
    </row>
    <row r="35" spans="1:28" s="30" customFormat="1" ht="23.25" customHeight="1">
      <c r="A35" s="32"/>
      <c r="B35" s="132" t="s">
        <v>34</v>
      </c>
      <c r="C35" s="105" t="s">
        <v>2</v>
      </c>
      <c r="D35" s="29" t="s">
        <v>30</v>
      </c>
      <c r="E35" s="41" t="s">
        <v>196</v>
      </c>
      <c r="F35" s="15"/>
      <c r="G35" s="15"/>
      <c r="H35" s="15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8"/>
      <c r="W35" s="18"/>
      <c r="AB35" s="34"/>
    </row>
    <row r="36" spans="1:28" s="30" customFormat="1" ht="17.25" customHeight="1">
      <c r="A36" s="32">
        <v>53</v>
      </c>
      <c r="B36" s="134"/>
      <c r="C36" s="106" t="str">
        <f>IF(A36="","VARA",VLOOKUP(A36,'[1]varas'!$A$4:$B$67,2))</f>
        <v>VT Nazaré</v>
      </c>
      <c r="D36" s="15"/>
      <c r="E36" s="41"/>
      <c r="F36" s="15">
        <f>11+14+3</f>
        <v>28</v>
      </c>
      <c r="G36" s="15">
        <v>6</v>
      </c>
      <c r="H36" s="15">
        <v>0</v>
      </c>
      <c r="I36" s="17">
        <f>SUM(F36:H36)</f>
        <v>34</v>
      </c>
      <c r="J36" s="15">
        <v>8</v>
      </c>
      <c r="K36" s="15">
        <v>9</v>
      </c>
      <c r="L36" s="15">
        <v>2</v>
      </c>
      <c r="M36" s="15">
        <v>1</v>
      </c>
      <c r="N36" s="15">
        <v>0</v>
      </c>
      <c r="O36" s="15">
        <v>14</v>
      </c>
      <c r="P36" s="15">
        <f>SUM(J36:O36)</f>
        <v>34</v>
      </c>
      <c r="Q36" s="15">
        <v>0</v>
      </c>
      <c r="R36" s="15">
        <v>0</v>
      </c>
      <c r="S36" s="15">
        <v>0</v>
      </c>
      <c r="T36" s="15">
        <v>0</v>
      </c>
      <c r="U36" s="15">
        <v>61</v>
      </c>
      <c r="V36" s="18"/>
      <c r="W36" s="18"/>
      <c r="AB36" s="34"/>
    </row>
    <row r="37" spans="1:28" s="30" customFormat="1" ht="17.25" customHeight="1">
      <c r="A37" s="32"/>
      <c r="B37" s="135"/>
      <c r="C37" s="106" t="s">
        <v>12</v>
      </c>
      <c r="D37" s="33"/>
      <c r="E37" s="23"/>
      <c r="F37" s="24">
        <f>SUM(F35:F36)</f>
        <v>28</v>
      </c>
      <c r="G37" s="24">
        <f>SUM(G35:G36)</f>
        <v>6</v>
      </c>
      <c r="H37" s="24">
        <f>SUM(H35:H36)</f>
        <v>0</v>
      </c>
      <c r="I37" s="40">
        <f>SUM(F37:H37)</f>
        <v>34</v>
      </c>
      <c r="J37" s="24">
        <f aca="true" t="shared" si="9" ref="J37:O37">SUM(J35:J36)</f>
        <v>8</v>
      </c>
      <c r="K37" s="24">
        <f t="shared" si="9"/>
        <v>9</v>
      </c>
      <c r="L37" s="24">
        <f t="shared" si="9"/>
        <v>2</v>
      </c>
      <c r="M37" s="24">
        <f t="shared" si="9"/>
        <v>1</v>
      </c>
      <c r="N37" s="24">
        <f t="shared" si="9"/>
        <v>0</v>
      </c>
      <c r="O37" s="24">
        <f t="shared" si="9"/>
        <v>14</v>
      </c>
      <c r="P37" s="24">
        <f>SUM(J37:O37)</f>
        <v>34</v>
      </c>
      <c r="Q37" s="24">
        <f>SUM(Q35:Q36)</f>
        <v>0</v>
      </c>
      <c r="R37" s="24">
        <f>SUM(R35:R36)</f>
        <v>0</v>
      </c>
      <c r="S37" s="24">
        <f>SUM(S35:S36)</f>
        <v>0</v>
      </c>
      <c r="T37" s="24">
        <f>SUM(T35:T36)</f>
        <v>0</v>
      </c>
      <c r="U37" s="24">
        <f>SUM(U35:U36)</f>
        <v>61</v>
      </c>
      <c r="V37" s="26">
        <f>IF(I37-Q37=0,"",IF(D37="",(P37+S37)/(I37-Q37),IF(AND(D37&lt;&gt;"",(P37+S37)/(I37-Q37)&gt;=50%),(P37+S37)/(I37-Q37),"")))</f>
        <v>1</v>
      </c>
      <c r="W37" s="26">
        <f>IF(I37=O37,"",IF(V37="",0,(P37+Q37+S37-O37)/(I37-O37)))</f>
        <v>1</v>
      </c>
      <c r="AB37" s="34"/>
    </row>
    <row r="38" spans="1:28" s="30" customFormat="1" ht="21" customHeight="1">
      <c r="A38" s="32"/>
      <c r="B38" s="136" t="s">
        <v>163</v>
      </c>
      <c r="C38" s="14" t="s">
        <v>2</v>
      </c>
      <c r="D38" s="42"/>
      <c r="E38" s="16" t="s">
        <v>27</v>
      </c>
      <c r="F38" s="15"/>
      <c r="G38" s="15"/>
      <c r="H38" s="15"/>
      <c r="I38" s="17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/>
      <c r="W38" s="18"/>
      <c r="AB38" s="34"/>
    </row>
    <row r="39" spans="1:28" s="30" customFormat="1" ht="21" customHeight="1">
      <c r="A39" s="32">
        <v>38</v>
      </c>
      <c r="B39" s="136"/>
      <c r="C39" s="20" t="str">
        <f>IF(A39="","VARA",VLOOKUP(A39,'[1]varas'!$A$4:$B$67,2))</f>
        <v>1ª VT Olinda</v>
      </c>
      <c r="D39" s="43"/>
      <c r="E39" s="16"/>
      <c r="F39" s="15">
        <f>30+22+16+7</f>
        <v>75</v>
      </c>
      <c r="G39" s="15">
        <v>0</v>
      </c>
      <c r="H39" s="15">
        <v>88</v>
      </c>
      <c r="I39" s="17">
        <f>SUM(F39:H39)</f>
        <v>163</v>
      </c>
      <c r="J39" s="15">
        <v>41</v>
      </c>
      <c r="K39" s="15">
        <v>3</v>
      </c>
      <c r="L39" s="15">
        <v>16</v>
      </c>
      <c r="M39" s="15">
        <v>7</v>
      </c>
      <c r="N39" s="15">
        <v>0</v>
      </c>
      <c r="O39" s="15">
        <v>22</v>
      </c>
      <c r="P39" s="15">
        <f>SUM(J39:O39)</f>
        <v>89</v>
      </c>
      <c r="Q39" s="15">
        <v>0</v>
      </c>
      <c r="R39" s="15">
        <v>74</v>
      </c>
      <c r="S39" s="15">
        <v>0</v>
      </c>
      <c r="T39" s="15">
        <v>0</v>
      </c>
      <c r="U39" s="15">
        <v>164</v>
      </c>
      <c r="V39" s="18"/>
      <c r="W39" s="18"/>
      <c r="AB39" s="34"/>
    </row>
    <row r="40" spans="1:41" s="39" customFormat="1" ht="19.5" customHeight="1">
      <c r="A40" s="32"/>
      <c r="B40" s="131"/>
      <c r="C40" s="21" t="s">
        <v>12</v>
      </c>
      <c r="D40" s="33"/>
      <c r="E40" s="23"/>
      <c r="F40" s="24">
        <f>SUM(F38:F39)</f>
        <v>75</v>
      </c>
      <c r="G40" s="24">
        <f>SUM(G38:G39)</f>
        <v>0</v>
      </c>
      <c r="H40" s="24">
        <f>SUM(H38:H39)</f>
        <v>88</v>
      </c>
      <c r="I40" s="25">
        <f>SUM(F40:H40)</f>
        <v>163</v>
      </c>
      <c r="J40" s="24">
        <f aca="true" t="shared" si="10" ref="J40:O40">SUM(J38:J39)</f>
        <v>41</v>
      </c>
      <c r="K40" s="24">
        <f t="shared" si="10"/>
        <v>3</v>
      </c>
      <c r="L40" s="24">
        <f t="shared" si="10"/>
        <v>16</v>
      </c>
      <c r="M40" s="24">
        <f t="shared" si="10"/>
        <v>7</v>
      </c>
      <c r="N40" s="24">
        <f t="shared" si="10"/>
        <v>0</v>
      </c>
      <c r="O40" s="24">
        <f t="shared" si="10"/>
        <v>22</v>
      </c>
      <c r="P40" s="24">
        <f>SUM(J40:O40)</f>
        <v>89</v>
      </c>
      <c r="Q40" s="24">
        <f>SUM(Q38:Q39)</f>
        <v>0</v>
      </c>
      <c r="R40" s="24">
        <f>SUM(R38:R39)</f>
        <v>74</v>
      </c>
      <c r="S40" s="24">
        <f>SUM(S38:S39)</f>
        <v>0</v>
      </c>
      <c r="T40" s="24">
        <f>SUM(T38:T39)</f>
        <v>0</v>
      </c>
      <c r="U40" s="24">
        <f>SUM(U38:U39)</f>
        <v>164</v>
      </c>
      <c r="V40" s="26">
        <f>IF(I40-Q40=0,"",IF(D40="",(P40+S40)/(I40-Q40),IF(AND(D40&lt;&gt;"",(P40+S40)/(I40-Q40)&gt;=50%),(P40+S40)/(I40-Q40),"")))</f>
        <v>0.5460122699386503</v>
      </c>
      <c r="W40" s="26">
        <f>IF(I40=O40,"",IF(V40="",0,(P40+Q40+S40-O40)/(I40-O40)))</f>
        <v>0.475177304964539</v>
      </c>
      <c r="X40" s="30"/>
      <c r="Y40" s="30"/>
      <c r="Z40" s="30"/>
      <c r="AA40" s="30"/>
      <c r="AB40" s="34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28" s="30" customFormat="1" ht="23.25" customHeight="1">
      <c r="A41" s="32"/>
      <c r="B41" s="131" t="s">
        <v>35</v>
      </c>
      <c r="C41" s="14" t="s">
        <v>2</v>
      </c>
      <c r="D41" s="29" t="s">
        <v>30</v>
      </c>
      <c r="E41" s="16" t="s">
        <v>197</v>
      </c>
      <c r="F41" s="15"/>
      <c r="G41" s="15"/>
      <c r="H41" s="15"/>
      <c r="I41" s="17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8"/>
      <c r="W41" s="18"/>
      <c r="AB41" s="34"/>
    </row>
    <row r="42" spans="1:28" s="30" customFormat="1" ht="19.5" customHeight="1">
      <c r="A42" s="32">
        <v>10</v>
      </c>
      <c r="B42" s="131"/>
      <c r="C42" s="20" t="str">
        <f>IF(A42="","VARA",VLOOKUP(A42,'[1]varas'!$A$4:$B$67,2))</f>
        <v>10ª VT Recife</v>
      </c>
      <c r="D42" s="15"/>
      <c r="E42" s="17"/>
      <c r="F42" s="15">
        <v>3</v>
      </c>
      <c r="G42" s="15">
        <v>0</v>
      </c>
      <c r="H42" s="15">
        <v>55</v>
      </c>
      <c r="I42" s="17">
        <f>SUM(F42:H42)</f>
        <v>58</v>
      </c>
      <c r="J42" s="15">
        <v>11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>SUM(J42:O42)</f>
        <v>11</v>
      </c>
      <c r="Q42" s="15">
        <v>0</v>
      </c>
      <c r="R42" s="15">
        <v>47</v>
      </c>
      <c r="S42" s="15">
        <v>0</v>
      </c>
      <c r="T42" s="15">
        <v>0</v>
      </c>
      <c r="U42" s="15">
        <v>1</v>
      </c>
      <c r="V42" s="18"/>
      <c r="W42" s="18"/>
      <c r="AB42" s="34"/>
    </row>
    <row r="43" spans="1:28" s="30" customFormat="1" ht="21.75" customHeight="1">
      <c r="A43" s="32"/>
      <c r="B43" s="131"/>
      <c r="C43" s="21" t="s">
        <v>12</v>
      </c>
      <c r="D43" s="33"/>
      <c r="E43" s="23"/>
      <c r="F43" s="24">
        <f>SUM(F41:F42)</f>
        <v>3</v>
      </c>
      <c r="G43" s="24">
        <f>SUM(G41:G42)</f>
        <v>0</v>
      </c>
      <c r="H43" s="24">
        <f>SUM(H41:H42)</f>
        <v>55</v>
      </c>
      <c r="I43" s="25">
        <f>SUM(F43:H43)</f>
        <v>58</v>
      </c>
      <c r="J43" s="24">
        <f aca="true" t="shared" si="11" ref="J43:O43">SUM(J41:J42)</f>
        <v>11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4">
        <f>SUM(J43:O43)</f>
        <v>11</v>
      </c>
      <c r="Q43" s="24">
        <f>SUM(Q41:Q42)</f>
        <v>0</v>
      </c>
      <c r="R43" s="24">
        <f>SUM(R41:R42)</f>
        <v>47</v>
      </c>
      <c r="S43" s="24">
        <f>SUM(S41:S42)</f>
        <v>0</v>
      </c>
      <c r="T43" s="24">
        <f>SUM(T41:T42)</f>
        <v>0</v>
      </c>
      <c r="U43" s="24">
        <f>SUM(U41:U42)</f>
        <v>1</v>
      </c>
      <c r="V43" s="26">
        <f>IF(I43-Q43=0,"",IF(D43="",(P43+S43)/(I43-Q43),IF(AND(D43&lt;&gt;"",(P43+S43)/(I43-Q43)&gt;=50%),(P43+S43)/(I43-Q43),"")))</f>
        <v>0.1896551724137931</v>
      </c>
      <c r="W43" s="26">
        <f>IF(I43=O43,"",IF(V43="",0,(P43+Q43+S43-O43)/(I43-O43)))</f>
        <v>0.1896551724137931</v>
      </c>
      <c r="AB43" s="34"/>
    </row>
    <row r="44" spans="1:41" s="39" customFormat="1" ht="21" customHeight="1">
      <c r="A44" s="32"/>
      <c r="B44" s="131" t="s">
        <v>36</v>
      </c>
      <c r="C44" s="14" t="s">
        <v>2</v>
      </c>
      <c r="D44" s="29" t="s">
        <v>30</v>
      </c>
      <c r="E44" s="16" t="s">
        <v>198</v>
      </c>
      <c r="F44" s="15"/>
      <c r="G44" s="15"/>
      <c r="H44" s="15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8"/>
      <c r="W44" s="18"/>
      <c r="X44" s="30"/>
      <c r="Y44" s="30"/>
      <c r="Z44" s="30"/>
      <c r="AA44" s="30"/>
      <c r="AB44" s="34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1" s="39" customFormat="1" ht="21" customHeight="1">
      <c r="A45" s="32">
        <v>59</v>
      </c>
      <c r="B45" s="131"/>
      <c r="C45" s="20" t="str">
        <f>IF(A45="","VARA",VLOOKUP(A45,'[1]varas'!$A$4:$B$67,2))</f>
        <v>VT Salgueiro</v>
      </c>
      <c r="D45" s="15"/>
      <c r="E45" s="16"/>
      <c r="F45" s="15">
        <f>64+36+11+4</f>
        <v>115</v>
      </c>
      <c r="G45" s="15">
        <v>40</v>
      </c>
      <c r="H45" s="15">
        <v>0</v>
      </c>
      <c r="I45" s="17">
        <f>SUM(F45:H45)</f>
        <v>155</v>
      </c>
      <c r="J45" s="15">
        <v>61</v>
      </c>
      <c r="K45" s="15">
        <v>24</v>
      </c>
      <c r="L45" s="15">
        <v>11</v>
      </c>
      <c r="M45" s="15">
        <v>4</v>
      </c>
      <c r="N45" s="15">
        <v>0</v>
      </c>
      <c r="O45" s="15">
        <v>36</v>
      </c>
      <c r="P45" s="15">
        <f>SUM(J45:O45)</f>
        <v>136</v>
      </c>
      <c r="Q45" s="15">
        <v>17</v>
      </c>
      <c r="R45" s="15">
        <v>2</v>
      </c>
      <c r="S45" s="15">
        <v>0</v>
      </c>
      <c r="T45" s="15">
        <v>0</v>
      </c>
      <c r="U45" s="15">
        <v>198</v>
      </c>
      <c r="V45" s="18"/>
      <c r="W45" s="18"/>
      <c r="X45" s="30"/>
      <c r="Y45" s="30"/>
      <c r="Z45" s="30"/>
      <c r="AA45" s="30"/>
      <c r="AB45" s="34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41" s="39" customFormat="1" ht="22.5" customHeight="1">
      <c r="A46" s="32">
        <v>58</v>
      </c>
      <c r="B46" s="131"/>
      <c r="C46" s="20" t="str">
        <f>IF(A46="","VARA",VLOOKUP(A46,'[1]varas'!$A$4:$B$67,2))</f>
        <v>VT S.Talhada</v>
      </c>
      <c r="D46" s="15"/>
      <c r="E46" s="16"/>
      <c r="F46" s="15">
        <v>1</v>
      </c>
      <c r="G46" s="15">
        <v>12</v>
      </c>
      <c r="H46" s="15">
        <v>0</v>
      </c>
      <c r="I46" s="17">
        <f>SUM(F46:H46)</f>
        <v>13</v>
      </c>
      <c r="J46" s="15">
        <v>11</v>
      </c>
      <c r="K46" s="15">
        <v>0</v>
      </c>
      <c r="L46" s="15">
        <v>1</v>
      </c>
      <c r="M46" s="15">
        <v>0</v>
      </c>
      <c r="N46" s="15">
        <v>0</v>
      </c>
      <c r="O46" s="15">
        <v>0</v>
      </c>
      <c r="P46" s="15">
        <f>SUM(J46:O46)</f>
        <v>12</v>
      </c>
      <c r="Q46" s="15">
        <v>0</v>
      </c>
      <c r="R46" s="15">
        <v>0</v>
      </c>
      <c r="S46" s="15">
        <v>0</v>
      </c>
      <c r="T46" s="15">
        <v>1</v>
      </c>
      <c r="U46" s="15">
        <v>0</v>
      </c>
      <c r="V46" s="18"/>
      <c r="W46" s="18"/>
      <c r="X46" s="30"/>
      <c r="Y46" s="30"/>
      <c r="Z46" s="30"/>
      <c r="AA46" s="30"/>
      <c r="AB46" s="34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28" s="30" customFormat="1" ht="20.25" customHeight="1">
      <c r="A47" s="32"/>
      <c r="B47" s="131"/>
      <c r="C47" s="21" t="s">
        <v>12</v>
      </c>
      <c r="D47" s="33"/>
      <c r="E47" s="23"/>
      <c r="F47" s="24">
        <f>SUM(F44:F46)</f>
        <v>116</v>
      </c>
      <c r="G47" s="24">
        <f>SUM(G44:G46)</f>
        <v>52</v>
      </c>
      <c r="H47" s="24">
        <f>SUM(H44:H46)</f>
        <v>0</v>
      </c>
      <c r="I47" s="25">
        <f>SUM(F47:H47)</f>
        <v>168</v>
      </c>
      <c r="J47" s="24">
        <f aca="true" t="shared" si="12" ref="J47:O47">SUM(J44:J46)</f>
        <v>72</v>
      </c>
      <c r="K47" s="24">
        <f t="shared" si="12"/>
        <v>24</v>
      </c>
      <c r="L47" s="24">
        <f t="shared" si="12"/>
        <v>12</v>
      </c>
      <c r="M47" s="24">
        <f t="shared" si="12"/>
        <v>4</v>
      </c>
      <c r="N47" s="24">
        <f t="shared" si="12"/>
        <v>0</v>
      </c>
      <c r="O47" s="24">
        <f t="shared" si="12"/>
        <v>36</v>
      </c>
      <c r="P47" s="24">
        <f>SUM(J47:O47)</f>
        <v>148</v>
      </c>
      <c r="Q47" s="24">
        <f>SUM(Q44:Q46)</f>
        <v>17</v>
      </c>
      <c r="R47" s="24">
        <f>SUM(R44:R46)</f>
        <v>2</v>
      </c>
      <c r="S47" s="24">
        <f>SUM(S44:S46)</f>
        <v>0</v>
      </c>
      <c r="T47" s="24">
        <f>SUM(T44:T46)</f>
        <v>1</v>
      </c>
      <c r="U47" s="24">
        <f>SUM(U44:U46)</f>
        <v>198</v>
      </c>
      <c r="V47" s="26">
        <f>IF(I47-Q47=0,"",IF(D47="",(P47+S47)/(I47-Q47),IF(AND(D47&lt;&gt;"",(P47+S47)/(I47-Q47)&gt;=50%),(P47+S47)/(I47-Q47),"")))</f>
        <v>0.9801324503311258</v>
      </c>
      <c r="W47" s="26">
        <f>IF(I47=O47,"",IF(V47="",0,(P47+Q47+S47-O47)/(I47-O47)))</f>
        <v>0.9772727272727273</v>
      </c>
      <c r="AB47" s="34"/>
    </row>
    <row r="48" spans="1:28" s="30" customFormat="1" ht="20.25" customHeight="1">
      <c r="A48" s="32"/>
      <c r="B48" s="131" t="s">
        <v>37</v>
      </c>
      <c r="C48" s="14" t="s">
        <v>2</v>
      </c>
      <c r="D48" s="29" t="s">
        <v>30</v>
      </c>
      <c r="E48" s="16" t="s">
        <v>199</v>
      </c>
      <c r="F48" s="15"/>
      <c r="G48" s="15"/>
      <c r="H48" s="15"/>
      <c r="I48" s="17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8"/>
      <c r="W48" s="18"/>
      <c r="AB48" s="34"/>
    </row>
    <row r="49" spans="1:28" s="30" customFormat="1" ht="18" customHeight="1">
      <c r="A49" s="32">
        <v>30</v>
      </c>
      <c r="B49" s="131"/>
      <c r="C49" s="20" t="str">
        <f>IF(A49="","VARA",VLOOKUP(A49,'[1]varas'!$A$4:$B$67,2))</f>
        <v>3ª VT Caruaru</v>
      </c>
      <c r="D49" s="15"/>
      <c r="E49" s="16"/>
      <c r="F49" s="15">
        <f>6+5+6</f>
        <v>17</v>
      </c>
      <c r="G49" s="15">
        <v>0</v>
      </c>
      <c r="H49" s="15">
        <v>0</v>
      </c>
      <c r="I49" s="17">
        <f>SUM(F49:H49)</f>
        <v>17</v>
      </c>
      <c r="J49" s="15">
        <v>6</v>
      </c>
      <c r="K49" s="15">
        <v>0</v>
      </c>
      <c r="L49" s="15">
        <v>4</v>
      </c>
      <c r="M49" s="15">
        <v>2</v>
      </c>
      <c r="N49" s="15">
        <v>0</v>
      </c>
      <c r="O49" s="15">
        <v>5</v>
      </c>
      <c r="P49" s="15">
        <f>SUM(J49:O49)</f>
        <v>17</v>
      </c>
      <c r="Q49" s="15">
        <v>0</v>
      </c>
      <c r="R49" s="15">
        <v>0</v>
      </c>
      <c r="S49" s="15">
        <v>0</v>
      </c>
      <c r="T49" s="15">
        <v>0</v>
      </c>
      <c r="U49" s="15">
        <v>19</v>
      </c>
      <c r="V49" s="18"/>
      <c r="W49" s="18"/>
      <c r="AB49" s="34"/>
    </row>
    <row r="50" spans="1:28" s="30" customFormat="1" ht="19.5" customHeight="1">
      <c r="A50" s="32"/>
      <c r="B50" s="131"/>
      <c r="C50" s="21" t="s">
        <v>12</v>
      </c>
      <c r="D50" s="33"/>
      <c r="E50" s="23"/>
      <c r="F50" s="24">
        <f>SUM(F48:F49)</f>
        <v>17</v>
      </c>
      <c r="G50" s="24">
        <f>SUM(G48:G49)</f>
        <v>0</v>
      </c>
      <c r="H50" s="24">
        <f>SUM(H48:H49)</f>
        <v>0</v>
      </c>
      <c r="I50" s="40">
        <f>SUM(F50:H50)</f>
        <v>17</v>
      </c>
      <c r="J50" s="24">
        <f aca="true" t="shared" si="13" ref="J50:O50">SUM(J48:J49)</f>
        <v>6</v>
      </c>
      <c r="K50" s="24">
        <f t="shared" si="13"/>
        <v>0</v>
      </c>
      <c r="L50" s="24">
        <f t="shared" si="13"/>
        <v>4</v>
      </c>
      <c r="M50" s="24">
        <f t="shared" si="13"/>
        <v>2</v>
      </c>
      <c r="N50" s="24">
        <f t="shared" si="13"/>
        <v>0</v>
      </c>
      <c r="O50" s="24">
        <f t="shared" si="13"/>
        <v>5</v>
      </c>
      <c r="P50" s="24">
        <f>SUM(J50:O50)</f>
        <v>17</v>
      </c>
      <c r="Q50" s="24">
        <f>SUM(Q48:Q49)</f>
        <v>0</v>
      </c>
      <c r="R50" s="24">
        <f>SUM(R48:R49)</f>
        <v>0</v>
      </c>
      <c r="S50" s="24">
        <f>SUM(S48:S49)</f>
        <v>0</v>
      </c>
      <c r="T50" s="24">
        <f>SUM(T48:T49)</f>
        <v>0</v>
      </c>
      <c r="U50" s="24">
        <f>SUM(U48:U49)</f>
        <v>19</v>
      </c>
      <c r="V50" s="26">
        <f>IF(I50-Q50=0,"",IF(D50="",(P50+S50)/(I50-Q50),IF(AND(D50&lt;&gt;"",(P50+S50)/(I50-Q50)&gt;=50%),(P50+S50)/(I50-Q50),"")))</f>
        <v>1</v>
      </c>
      <c r="W50" s="26">
        <f>IF(I50=O50,"",IF(V50="",0,(P50+Q50+S50-O50)/(I50-O50)))</f>
        <v>1</v>
      </c>
      <c r="AB50" s="34"/>
    </row>
    <row r="51" spans="1:28" s="30" customFormat="1" ht="23.25" customHeight="1">
      <c r="A51" s="32"/>
      <c r="B51" s="131" t="s">
        <v>38</v>
      </c>
      <c r="C51" s="14" t="s">
        <v>2</v>
      </c>
      <c r="D51" s="29" t="s">
        <v>159</v>
      </c>
      <c r="E51" s="16" t="s">
        <v>166</v>
      </c>
      <c r="F51" s="15"/>
      <c r="G51" s="15"/>
      <c r="H51" s="15"/>
      <c r="I51" s="17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8"/>
      <c r="W51" s="18"/>
      <c r="AB51" s="34"/>
    </row>
    <row r="52" spans="1:28" s="30" customFormat="1" ht="17.25" customHeight="1">
      <c r="A52" s="32">
        <v>11</v>
      </c>
      <c r="B52" s="131"/>
      <c r="C52" s="20" t="str">
        <f>IF(A52="","VARA",VLOOKUP(A52,'[1]varas'!$A$4:$B$67,2))</f>
        <v>11ª VT Recife</v>
      </c>
      <c r="D52" s="15"/>
      <c r="E52" s="16"/>
      <c r="F52" s="15">
        <v>0</v>
      </c>
      <c r="G52" s="15">
        <v>0</v>
      </c>
      <c r="H52" s="15">
        <v>0</v>
      </c>
      <c r="I52" s="17">
        <f>SUM(F52:H52)</f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>SUM(J52:O52)</f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8"/>
      <c r="W52" s="18"/>
      <c r="AB52" s="34"/>
    </row>
    <row r="53" spans="1:28" s="45" customFormat="1" ht="18.75" customHeight="1">
      <c r="A53" s="44"/>
      <c r="B53" s="131"/>
      <c r="C53" s="21" t="s">
        <v>12</v>
      </c>
      <c r="D53" s="33"/>
      <c r="E53" s="23"/>
      <c r="F53" s="24">
        <f>SUM(F51:F52)</f>
        <v>0</v>
      </c>
      <c r="G53" s="24">
        <f>SUM(G51:G52)</f>
        <v>0</v>
      </c>
      <c r="H53" s="24">
        <f>SUM(H51:H52)</f>
        <v>0</v>
      </c>
      <c r="I53" s="40">
        <f>SUM(F53:H53)</f>
        <v>0</v>
      </c>
      <c r="J53" s="24">
        <f aca="true" t="shared" si="14" ref="J53:O53">SUM(J51:J52)</f>
        <v>0</v>
      </c>
      <c r="K53" s="24">
        <f t="shared" si="14"/>
        <v>0</v>
      </c>
      <c r="L53" s="24">
        <f t="shared" si="14"/>
        <v>0</v>
      </c>
      <c r="M53" s="24">
        <f t="shared" si="14"/>
        <v>0</v>
      </c>
      <c r="N53" s="24">
        <f t="shared" si="14"/>
        <v>0</v>
      </c>
      <c r="O53" s="24">
        <f t="shared" si="14"/>
        <v>0</v>
      </c>
      <c r="P53" s="24">
        <f>SUM(J53:O53)</f>
        <v>0</v>
      </c>
      <c r="Q53" s="24">
        <f>SUM(Q51:Q52)</f>
        <v>0</v>
      </c>
      <c r="R53" s="24">
        <f>SUM(R51:R52)</f>
        <v>0</v>
      </c>
      <c r="S53" s="24">
        <f>SUM(S51:S52)</f>
        <v>0</v>
      </c>
      <c r="T53" s="24">
        <f>SUM(T51:T52)</f>
        <v>0</v>
      </c>
      <c r="U53" s="24">
        <f>SUM(U51:U52)</f>
        <v>0</v>
      </c>
      <c r="V53" s="26">
        <f>IF(I53-Q53=0,"",IF(D53="",(P53+S53)/(I53-Q53),IF(AND(D53&lt;&gt;"",(P53+S53)/(I53-Q53)&gt;=50%),(P53+S53)/(I53-Q53),"")))</f>
      </c>
      <c r="W53" s="26">
        <f>IF(I53=O53,"",IF(V53="",0,(P53+Q53+S53-O53)/(I53-O53)))</f>
      </c>
      <c r="AB53" s="38"/>
    </row>
    <row r="54" spans="1:28" s="30" customFormat="1" ht="25.5" customHeight="1">
      <c r="A54" s="32"/>
      <c r="B54" s="132" t="s">
        <v>39</v>
      </c>
      <c r="C54" s="105" t="s">
        <v>2</v>
      </c>
      <c r="D54" s="29" t="s">
        <v>200</v>
      </c>
      <c r="E54" s="16" t="s">
        <v>201</v>
      </c>
      <c r="F54" s="15"/>
      <c r="G54" s="15"/>
      <c r="H54" s="15"/>
      <c r="I54" s="17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8"/>
      <c r="W54" s="18"/>
      <c r="AB54" s="34"/>
    </row>
    <row r="55" spans="1:28" s="30" customFormat="1" ht="21" customHeight="1">
      <c r="A55" s="32">
        <v>55</v>
      </c>
      <c r="B55" s="134"/>
      <c r="C55" s="106" t="str">
        <f>IF(A55="","VARA",VLOOKUP(A55,'[1]varas'!$A$4:$B$67,2))</f>
        <v>VT Pesqueira</v>
      </c>
      <c r="D55" s="15"/>
      <c r="E55" s="17"/>
      <c r="F55" s="15">
        <v>0</v>
      </c>
      <c r="G55" s="15">
        <v>2</v>
      </c>
      <c r="H55" s="15">
        <v>0</v>
      </c>
      <c r="I55" s="17">
        <f>SUM(F55:H55)</f>
        <v>2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>SUM(J55:O55)</f>
        <v>0</v>
      </c>
      <c r="Q55" s="15">
        <v>2</v>
      </c>
      <c r="R55" s="15">
        <v>0</v>
      </c>
      <c r="S55" s="15">
        <v>0</v>
      </c>
      <c r="T55" s="15">
        <v>0</v>
      </c>
      <c r="U55" s="15">
        <v>0</v>
      </c>
      <c r="V55" s="18"/>
      <c r="W55" s="18"/>
      <c r="AB55" s="34"/>
    </row>
    <row r="56" spans="2:28" s="32" customFormat="1" ht="16.5" customHeight="1">
      <c r="B56" s="135"/>
      <c r="C56" s="107" t="s">
        <v>12</v>
      </c>
      <c r="D56" s="33"/>
      <c r="E56" s="23"/>
      <c r="F56" s="24">
        <f>SUM(F54:F55)</f>
        <v>0</v>
      </c>
      <c r="G56" s="24">
        <f>SUM(G54:G55)</f>
        <v>2</v>
      </c>
      <c r="H56" s="24">
        <f>SUM(H54:H55)</f>
        <v>0</v>
      </c>
      <c r="I56" s="40">
        <f>SUM(F56:H56)</f>
        <v>2</v>
      </c>
      <c r="J56" s="24">
        <f aca="true" t="shared" si="15" ref="J56:O56">SUM(J54:J55)</f>
        <v>0</v>
      </c>
      <c r="K56" s="24">
        <f t="shared" si="15"/>
        <v>0</v>
      </c>
      <c r="L56" s="24">
        <f t="shared" si="15"/>
        <v>0</v>
      </c>
      <c r="M56" s="24">
        <f t="shared" si="15"/>
        <v>0</v>
      </c>
      <c r="N56" s="24">
        <f t="shared" si="15"/>
        <v>0</v>
      </c>
      <c r="O56" s="24">
        <f t="shared" si="15"/>
        <v>0</v>
      </c>
      <c r="P56" s="24">
        <f>SUM(J56:O56)</f>
        <v>0</v>
      </c>
      <c r="Q56" s="24">
        <f>SUM(Q54:Q55)</f>
        <v>2</v>
      </c>
      <c r="R56" s="24">
        <f>SUM(R54:R55)</f>
        <v>0</v>
      </c>
      <c r="S56" s="24">
        <f>SUM(S54:S55)</f>
        <v>0</v>
      </c>
      <c r="T56" s="24">
        <f>SUM(T54:T55)</f>
        <v>0</v>
      </c>
      <c r="U56" s="24">
        <f>SUM(U54:U55)</f>
        <v>0</v>
      </c>
      <c r="V56" s="26">
        <f>IF(I56-Q56=0,"",IF(D56="",(P56+S56)/(I56-Q56),IF(AND(D56&lt;&gt;"",(P56+S56)/(I56-Q56)&gt;=50%),(P56+S56)/(I56-Q56),"")))</f>
      </c>
      <c r="W56" s="26">
        <f>IF(I56=O56,"",IF(V56="",0,(P56+Q56+S56-O56)/(I56-O56)))</f>
        <v>0</v>
      </c>
      <c r="AB56" s="46"/>
    </row>
    <row r="57" spans="1:41" s="39" customFormat="1" ht="26.25" customHeight="1">
      <c r="A57" s="32"/>
      <c r="B57" s="132" t="s">
        <v>40</v>
      </c>
      <c r="C57" s="105" t="s">
        <v>2</v>
      </c>
      <c r="D57" s="29"/>
      <c r="E57" s="16" t="s">
        <v>27</v>
      </c>
      <c r="F57" s="15"/>
      <c r="G57" s="15"/>
      <c r="H57" s="15"/>
      <c r="I57" s="1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8"/>
      <c r="W57" s="18"/>
      <c r="X57" s="30"/>
      <c r="Y57" s="30"/>
      <c r="Z57" s="30"/>
      <c r="AA57" s="30"/>
      <c r="AB57" s="34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</row>
    <row r="58" spans="1:41" s="39" customFormat="1" ht="23.25" customHeight="1">
      <c r="A58" s="32">
        <v>8</v>
      </c>
      <c r="B58" s="134"/>
      <c r="C58" s="106" t="str">
        <f>IF(A58="","VARA",VLOOKUP(A58,'[1]varas'!$A$4:$B$67,2))</f>
        <v>8ª VT Recife</v>
      </c>
      <c r="D58" s="29"/>
      <c r="E58" s="16"/>
      <c r="F58" s="15">
        <f>38+25+11+12</f>
        <v>86</v>
      </c>
      <c r="G58" s="15">
        <v>0</v>
      </c>
      <c r="H58" s="15">
        <v>0</v>
      </c>
      <c r="I58" s="17">
        <f>SUM(F58:H58)</f>
        <v>86</v>
      </c>
      <c r="J58" s="15">
        <v>26</v>
      </c>
      <c r="K58" s="15">
        <v>7</v>
      </c>
      <c r="L58" s="15">
        <v>11</v>
      </c>
      <c r="M58" s="15">
        <v>12</v>
      </c>
      <c r="N58" s="15">
        <v>0</v>
      </c>
      <c r="O58" s="15">
        <v>25</v>
      </c>
      <c r="P58" s="15">
        <f>SUM(J58:O58)</f>
        <v>81</v>
      </c>
      <c r="Q58" s="15">
        <v>5</v>
      </c>
      <c r="R58" s="15">
        <v>0</v>
      </c>
      <c r="S58" s="15">
        <v>0</v>
      </c>
      <c r="T58" s="15">
        <v>0</v>
      </c>
      <c r="U58" s="15">
        <v>154</v>
      </c>
      <c r="V58" s="18"/>
      <c r="W58" s="18"/>
      <c r="X58" s="30"/>
      <c r="Y58" s="30"/>
      <c r="Z58" s="30"/>
      <c r="AA58" s="30"/>
      <c r="AB58" s="34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</row>
    <row r="59" spans="1:28" s="30" customFormat="1" ht="21" customHeight="1">
      <c r="A59" s="32"/>
      <c r="B59" s="135"/>
      <c r="C59" s="107" t="s">
        <v>12</v>
      </c>
      <c r="D59" s="33"/>
      <c r="E59" s="23"/>
      <c r="F59" s="24">
        <f>SUM(F57:F58)</f>
        <v>86</v>
      </c>
      <c r="G59" s="24">
        <f>SUM(G57:G58)</f>
        <v>0</v>
      </c>
      <c r="H59" s="24">
        <f>SUM(H57:H58)</f>
        <v>0</v>
      </c>
      <c r="I59" s="25">
        <f>SUM(F59:H59)</f>
        <v>86</v>
      </c>
      <c r="J59" s="24">
        <f aca="true" t="shared" si="16" ref="J59:O59">SUM(J57:J58)</f>
        <v>26</v>
      </c>
      <c r="K59" s="24">
        <f t="shared" si="16"/>
        <v>7</v>
      </c>
      <c r="L59" s="24">
        <f t="shared" si="16"/>
        <v>11</v>
      </c>
      <c r="M59" s="24">
        <f t="shared" si="16"/>
        <v>12</v>
      </c>
      <c r="N59" s="24">
        <f t="shared" si="16"/>
        <v>0</v>
      </c>
      <c r="O59" s="24">
        <f t="shared" si="16"/>
        <v>25</v>
      </c>
      <c r="P59" s="24">
        <f>SUM(J59:O59)</f>
        <v>81</v>
      </c>
      <c r="Q59" s="24">
        <f>SUM(Q57:Q58)</f>
        <v>5</v>
      </c>
      <c r="R59" s="24">
        <f>SUM(R57:R58)</f>
        <v>0</v>
      </c>
      <c r="S59" s="24">
        <f>SUM(S57:S58)</f>
        <v>0</v>
      </c>
      <c r="T59" s="24">
        <f>SUM(T57:T58)</f>
        <v>0</v>
      </c>
      <c r="U59" s="24">
        <f>SUM(U57:U58)</f>
        <v>154</v>
      </c>
      <c r="V59" s="26">
        <f>IF(I59-Q59=0,"",IF(D59="",(P59+S59)/(I59-Q59),IF(AND(D59&lt;&gt;"",(P59+S59)/(I59-Q59)&gt;=50%),(P59+S59)/(I59-Q59),"")))</f>
        <v>1</v>
      </c>
      <c r="W59" s="26">
        <f>IF(I59=O59,"",IF(V59="",0,(P59+Q59+S59-O59)/(I59-O59)))</f>
        <v>1</v>
      </c>
      <c r="AB59" s="34"/>
    </row>
    <row r="60" spans="1:28" s="30" customFormat="1" ht="24" customHeight="1">
      <c r="A60" s="32"/>
      <c r="B60" s="132" t="s">
        <v>41</v>
      </c>
      <c r="C60" s="105" t="s">
        <v>156</v>
      </c>
      <c r="D60" s="15"/>
      <c r="E60" s="16" t="s">
        <v>27</v>
      </c>
      <c r="F60" s="15"/>
      <c r="G60" s="15"/>
      <c r="H60" s="15"/>
      <c r="I60" s="17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/>
      <c r="W60" s="18"/>
      <c r="AB60" s="34"/>
    </row>
    <row r="61" spans="1:28" s="30" customFormat="1" ht="17.25" customHeight="1">
      <c r="A61" s="32">
        <v>38</v>
      </c>
      <c r="B61" s="134"/>
      <c r="C61" s="106" t="str">
        <f>IF(A61="","VARA",VLOOKUP(A61,'[1]varas'!$A$4:$B$67,2))</f>
        <v>1ª VT Olinda</v>
      </c>
      <c r="D61" s="15"/>
      <c r="E61" s="16"/>
      <c r="F61" s="15">
        <v>0</v>
      </c>
      <c r="G61" s="15">
        <v>0</v>
      </c>
      <c r="H61" s="15">
        <v>0</v>
      </c>
      <c r="I61" s="17">
        <f>SUM(F61:H61)</f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>SUM(J61:O61)</f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8"/>
      <c r="W61" s="18"/>
      <c r="AB61" s="34"/>
    </row>
    <row r="62" spans="1:28" s="30" customFormat="1" ht="18.75" customHeight="1">
      <c r="A62" s="32">
        <v>39</v>
      </c>
      <c r="B62" s="134"/>
      <c r="C62" s="106" t="str">
        <f>IF(A62="","VARA",VLOOKUP(A62,'[1]varas'!$A$4:$B$67,2))</f>
        <v>2ª VT Olinda</v>
      </c>
      <c r="D62" s="29"/>
      <c r="E62" s="16"/>
      <c r="F62" s="15">
        <f>36+40+6+3+1</f>
        <v>86</v>
      </c>
      <c r="G62" s="15">
        <v>8</v>
      </c>
      <c r="H62" s="15">
        <v>16</v>
      </c>
      <c r="I62" s="17">
        <f>SUM(F62:H62)</f>
        <v>110</v>
      </c>
      <c r="J62" s="15">
        <v>19</v>
      </c>
      <c r="K62" s="15">
        <v>13</v>
      </c>
      <c r="L62" s="15">
        <v>6</v>
      </c>
      <c r="M62" s="15">
        <v>3</v>
      </c>
      <c r="N62" s="15">
        <v>1</v>
      </c>
      <c r="O62" s="15">
        <v>40</v>
      </c>
      <c r="P62" s="15">
        <f>SUM(J62:O62)</f>
        <v>82</v>
      </c>
      <c r="Q62" s="15">
        <v>13</v>
      </c>
      <c r="R62" s="15">
        <v>15</v>
      </c>
      <c r="S62" s="15">
        <v>0</v>
      </c>
      <c r="T62" s="15">
        <v>0</v>
      </c>
      <c r="U62" s="15">
        <v>150</v>
      </c>
      <c r="V62" s="18"/>
      <c r="W62" s="18"/>
      <c r="AB62" s="34"/>
    </row>
    <row r="63" spans="1:28" s="30" customFormat="1" ht="16.5" customHeight="1">
      <c r="A63" s="32">
        <v>40</v>
      </c>
      <c r="B63" s="134"/>
      <c r="C63" s="106" t="str">
        <f>IF(A63="","VARA",VLOOKUP(A63,'[1]varas'!$A$4:$B$67,2))</f>
        <v>3ª VT Olinda</v>
      </c>
      <c r="D63" s="15"/>
      <c r="E63" s="17"/>
      <c r="F63" s="15">
        <v>0</v>
      </c>
      <c r="G63" s="15">
        <v>0</v>
      </c>
      <c r="H63" s="15">
        <v>0</v>
      </c>
      <c r="I63" s="17">
        <f>SUM(F63:H63)</f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>SUM(J63:O63)</f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8"/>
      <c r="W63" s="18"/>
      <c r="AB63" s="34"/>
    </row>
    <row r="64" spans="1:28" s="49" customFormat="1" ht="16.5" customHeight="1">
      <c r="A64" s="47"/>
      <c r="B64" s="135"/>
      <c r="C64" s="106" t="s">
        <v>12</v>
      </c>
      <c r="D64" s="24"/>
      <c r="E64" s="48"/>
      <c r="F64" s="24">
        <f>SUM(F60:F63)</f>
        <v>86</v>
      </c>
      <c r="G64" s="24">
        <f>SUM(G60:G63)</f>
        <v>8</v>
      </c>
      <c r="H64" s="24">
        <f>SUM(H60:H63)</f>
        <v>16</v>
      </c>
      <c r="I64" s="40">
        <f>SUM(F64:H64)</f>
        <v>110</v>
      </c>
      <c r="J64" s="24">
        <f aca="true" t="shared" si="17" ref="J64:O64">SUM(J60:J63)</f>
        <v>19</v>
      </c>
      <c r="K64" s="24">
        <f t="shared" si="17"/>
        <v>13</v>
      </c>
      <c r="L64" s="24">
        <f t="shared" si="17"/>
        <v>6</v>
      </c>
      <c r="M64" s="24">
        <f t="shared" si="17"/>
        <v>3</v>
      </c>
      <c r="N64" s="24">
        <f t="shared" si="17"/>
        <v>1</v>
      </c>
      <c r="O64" s="24">
        <f t="shared" si="17"/>
        <v>40</v>
      </c>
      <c r="P64" s="24">
        <f>SUM(J64:O64)</f>
        <v>82</v>
      </c>
      <c r="Q64" s="24">
        <f>SUM(Q60:Q63)</f>
        <v>13</v>
      </c>
      <c r="R64" s="24">
        <f>SUM(R60:R63)</f>
        <v>15</v>
      </c>
      <c r="S64" s="24">
        <f>SUM(S60:S63)</f>
        <v>0</v>
      </c>
      <c r="T64" s="24">
        <f>SUM(T60:T63)</f>
        <v>0</v>
      </c>
      <c r="U64" s="24">
        <f>SUM(U60:U63)</f>
        <v>150</v>
      </c>
      <c r="V64" s="26">
        <f>IF(I64-Q64=0,"",IF(D64="",(P64+S64)/(I64-Q64),IF(AND(D64&lt;&gt;"",(P64+S64)/(I64-Q64)&gt;=50%),(P64+S64)/(I64-Q64),"")))</f>
        <v>0.845360824742268</v>
      </c>
      <c r="W64" s="26">
        <f>IF(I64=O64,"",IF(V64="",0,(P64+Q64+S64-O64)/(I64-O64)))</f>
        <v>0.7857142857142857</v>
      </c>
      <c r="AB64" s="50"/>
    </row>
    <row r="65" spans="1:28" s="30" customFormat="1" ht="21.75" customHeight="1">
      <c r="A65" s="32"/>
      <c r="B65" s="136" t="s">
        <v>42</v>
      </c>
      <c r="C65" s="14" t="s">
        <v>2</v>
      </c>
      <c r="D65" s="29"/>
      <c r="E65" s="16" t="s">
        <v>27</v>
      </c>
      <c r="F65" s="15"/>
      <c r="G65" s="15"/>
      <c r="H65" s="15"/>
      <c r="I65" s="17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8"/>
      <c r="W65" s="18"/>
      <c r="AB65" s="34"/>
    </row>
    <row r="66" spans="1:28" s="30" customFormat="1" ht="20.25" customHeight="1">
      <c r="A66" s="32">
        <v>19</v>
      </c>
      <c r="B66" s="131"/>
      <c r="C66" s="20" t="str">
        <f>IF(A66="","VARA",VLOOKUP(A66,'[1]varas'!$A$4:$B$67,2))</f>
        <v>19ª VT Recife</v>
      </c>
      <c r="D66" s="29"/>
      <c r="E66" s="16"/>
      <c r="F66" s="15">
        <f>41+14+13</f>
        <v>68</v>
      </c>
      <c r="G66" s="15">
        <v>0</v>
      </c>
      <c r="H66" s="15">
        <v>0</v>
      </c>
      <c r="I66" s="17">
        <f>SUM(F66:H66)</f>
        <v>68</v>
      </c>
      <c r="J66" s="15">
        <v>13</v>
      </c>
      <c r="K66" s="15">
        <v>11</v>
      </c>
      <c r="L66" s="15">
        <v>1</v>
      </c>
      <c r="M66" s="15">
        <v>12</v>
      </c>
      <c r="N66" s="15">
        <v>0</v>
      </c>
      <c r="O66" s="15">
        <v>14</v>
      </c>
      <c r="P66" s="15">
        <f>SUM(J66:O66)</f>
        <v>51</v>
      </c>
      <c r="Q66" s="15">
        <v>17</v>
      </c>
      <c r="R66" s="15">
        <v>0</v>
      </c>
      <c r="S66" s="15">
        <v>0</v>
      </c>
      <c r="T66" s="15">
        <v>0</v>
      </c>
      <c r="U66" s="15">
        <v>133</v>
      </c>
      <c r="V66" s="18"/>
      <c r="W66" s="18"/>
      <c r="AB66" s="34"/>
    </row>
    <row r="67" spans="1:28" s="49" customFormat="1" ht="21" customHeight="1">
      <c r="A67" s="47"/>
      <c r="B67" s="131"/>
      <c r="C67" s="21" t="s">
        <v>12</v>
      </c>
      <c r="D67" s="51"/>
      <c r="E67" s="52"/>
      <c r="F67" s="24">
        <f>SUM(F65:F66)</f>
        <v>68</v>
      </c>
      <c r="G67" s="24">
        <f>SUM(G65:G66)</f>
        <v>0</v>
      </c>
      <c r="H67" s="24">
        <f>SUM(H65:H66)</f>
        <v>0</v>
      </c>
      <c r="I67" s="25">
        <f>SUM(F67:H67)</f>
        <v>68</v>
      </c>
      <c r="J67" s="24">
        <f aca="true" t="shared" si="18" ref="J67:O67">SUM(J65:J66)</f>
        <v>13</v>
      </c>
      <c r="K67" s="24">
        <f t="shared" si="18"/>
        <v>11</v>
      </c>
      <c r="L67" s="24">
        <f t="shared" si="18"/>
        <v>1</v>
      </c>
      <c r="M67" s="24">
        <f t="shared" si="18"/>
        <v>12</v>
      </c>
      <c r="N67" s="24">
        <f t="shared" si="18"/>
        <v>0</v>
      </c>
      <c r="O67" s="24">
        <f t="shared" si="18"/>
        <v>14</v>
      </c>
      <c r="P67" s="24">
        <f>SUM(J67:O67)</f>
        <v>51</v>
      </c>
      <c r="Q67" s="24">
        <f>SUM(Q65:Q66)</f>
        <v>17</v>
      </c>
      <c r="R67" s="24">
        <f>SUM(R65:R66)</f>
        <v>0</v>
      </c>
      <c r="S67" s="24">
        <f>SUM(S65:S66)</f>
        <v>0</v>
      </c>
      <c r="T67" s="24">
        <f>SUM(T65:T66)</f>
        <v>0</v>
      </c>
      <c r="U67" s="24">
        <f>SUM(U65:U66)</f>
        <v>133</v>
      </c>
      <c r="V67" s="26">
        <f>IF(I67-Q67=0,"",IF(D67="",(P67+S67)/(I67-Q67),IF(AND(D67&lt;&gt;"",(P67+S67)/(I67-Q67)&gt;=50%),(P67+S67)/(I67-Q67),"")))</f>
        <v>1</v>
      </c>
      <c r="W67" s="26">
        <f>IF(I67=O67,"",IF(V67="",0,(P67+Q67+S67-O67)/(I67-O67)))</f>
        <v>1</v>
      </c>
      <c r="AB67" s="50"/>
    </row>
    <row r="68" spans="1:28" s="30" customFormat="1" ht="26.25" customHeight="1">
      <c r="A68" s="32"/>
      <c r="B68" s="131" t="s">
        <v>44</v>
      </c>
      <c r="C68" s="14" t="s">
        <v>156</v>
      </c>
      <c r="D68" s="29" t="s">
        <v>30</v>
      </c>
      <c r="E68" s="16" t="s">
        <v>197</v>
      </c>
      <c r="F68" s="15"/>
      <c r="G68" s="15"/>
      <c r="H68" s="15"/>
      <c r="I68" s="17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8"/>
      <c r="W68" s="18"/>
      <c r="AB68" s="34"/>
    </row>
    <row r="69" spans="1:28" s="30" customFormat="1" ht="21.75" customHeight="1">
      <c r="A69" s="32">
        <v>2</v>
      </c>
      <c r="B69" s="131"/>
      <c r="C69" s="20" t="str">
        <f>IF(A69="","VARA",VLOOKUP(A69,'[1]varas'!$A$4:$B$67,2))</f>
        <v>2ª VT Recife</v>
      </c>
      <c r="D69" s="15"/>
      <c r="E69" s="17"/>
      <c r="F69" s="15">
        <v>0</v>
      </c>
      <c r="G69" s="15">
        <v>0</v>
      </c>
      <c r="H69" s="15">
        <v>1</v>
      </c>
      <c r="I69" s="17">
        <f aca="true" t="shared" si="19" ref="I69:I74">SUM(F69:H69)</f>
        <v>1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 aca="true" t="shared" si="20" ref="P69:P74">SUM(J69:O69)</f>
        <v>0</v>
      </c>
      <c r="Q69" s="15">
        <v>0</v>
      </c>
      <c r="R69" s="15">
        <v>1</v>
      </c>
      <c r="S69" s="15">
        <v>0</v>
      </c>
      <c r="T69" s="15">
        <v>0</v>
      </c>
      <c r="U69" s="15">
        <v>0</v>
      </c>
      <c r="V69" s="18"/>
      <c r="W69" s="18"/>
      <c r="AB69" s="34"/>
    </row>
    <row r="70" spans="1:28" s="30" customFormat="1" ht="21.75" customHeight="1">
      <c r="A70" s="32">
        <v>6</v>
      </c>
      <c r="B70" s="131"/>
      <c r="C70" s="20" t="str">
        <f>IF(A70="","VARA",VLOOKUP(A70,'[1]varas'!$A$4:$B$67,2))</f>
        <v>6ª VT Recife</v>
      </c>
      <c r="D70" s="15"/>
      <c r="E70" s="17"/>
      <c r="F70" s="15">
        <v>0</v>
      </c>
      <c r="G70" s="15">
        <v>0</v>
      </c>
      <c r="H70" s="15">
        <v>1</v>
      </c>
      <c r="I70" s="17">
        <f t="shared" si="19"/>
        <v>1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 t="shared" si="20"/>
        <v>0</v>
      </c>
      <c r="Q70" s="15">
        <v>0</v>
      </c>
      <c r="R70" s="15">
        <v>1</v>
      </c>
      <c r="S70" s="15">
        <v>0</v>
      </c>
      <c r="T70" s="15">
        <v>0</v>
      </c>
      <c r="U70" s="15">
        <v>0</v>
      </c>
      <c r="V70" s="18"/>
      <c r="W70" s="18"/>
      <c r="AB70" s="34"/>
    </row>
    <row r="71" spans="1:28" s="30" customFormat="1" ht="21" customHeight="1">
      <c r="A71" s="32">
        <v>12</v>
      </c>
      <c r="B71" s="131"/>
      <c r="C71" s="20" t="str">
        <f>IF(A71="","VARA",VLOOKUP(A71,'[1]varas'!$A$4:$B$67,2))</f>
        <v>12ª VT Recife</v>
      </c>
      <c r="D71" s="15"/>
      <c r="E71" s="17"/>
      <c r="F71" s="15">
        <v>0</v>
      </c>
      <c r="G71" s="15">
        <v>0</v>
      </c>
      <c r="H71" s="15">
        <v>3</v>
      </c>
      <c r="I71" s="17">
        <f t="shared" si="19"/>
        <v>3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 t="shared" si="20"/>
        <v>0</v>
      </c>
      <c r="Q71" s="15">
        <v>0</v>
      </c>
      <c r="R71" s="15">
        <v>3</v>
      </c>
      <c r="S71" s="15">
        <v>0</v>
      </c>
      <c r="T71" s="15">
        <v>0</v>
      </c>
      <c r="U71" s="15">
        <v>0</v>
      </c>
      <c r="V71" s="18"/>
      <c r="W71" s="18"/>
      <c r="AB71" s="34"/>
    </row>
    <row r="72" spans="1:28" s="30" customFormat="1" ht="21.75" customHeight="1">
      <c r="A72" s="32">
        <v>21</v>
      </c>
      <c r="B72" s="131"/>
      <c r="C72" s="20" t="str">
        <f>IF(A72="","VARA",VLOOKUP(A72,'[1]varas'!$A$4:$B$67,2))</f>
        <v>21ª VT Recife</v>
      </c>
      <c r="D72" s="15"/>
      <c r="E72" s="17"/>
      <c r="F72" s="15">
        <v>1</v>
      </c>
      <c r="G72" s="15">
        <v>27</v>
      </c>
      <c r="H72" s="15">
        <v>95</v>
      </c>
      <c r="I72" s="17">
        <f t="shared" si="19"/>
        <v>123</v>
      </c>
      <c r="J72" s="15">
        <v>3</v>
      </c>
      <c r="K72" s="15">
        <v>0</v>
      </c>
      <c r="L72" s="15">
        <v>1</v>
      </c>
      <c r="M72" s="15">
        <v>0</v>
      </c>
      <c r="N72" s="15">
        <v>0</v>
      </c>
      <c r="O72" s="15">
        <v>0</v>
      </c>
      <c r="P72" s="15">
        <f t="shared" si="20"/>
        <v>4</v>
      </c>
      <c r="Q72" s="15">
        <v>27</v>
      </c>
      <c r="R72" s="15">
        <v>92</v>
      </c>
      <c r="S72" s="15">
        <v>0</v>
      </c>
      <c r="T72" s="15">
        <v>0</v>
      </c>
      <c r="U72" s="15">
        <v>0</v>
      </c>
      <c r="V72" s="18"/>
      <c r="W72" s="18"/>
      <c r="AB72" s="34"/>
    </row>
    <row r="73" spans="1:28" s="30" customFormat="1" ht="19.5" customHeight="1">
      <c r="A73" s="32">
        <v>66</v>
      </c>
      <c r="B73" s="131"/>
      <c r="C73" s="20" t="s">
        <v>161</v>
      </c>
      <c r="D73" s="15"/>
      <c r="E73" s="17"/>
      <c r="F73" s="15">
        <v>0</v>
      </c>
      <c r="G73" s="15">
        <v>0</v>
      </c>
      <c r="H73" s="15">
        <v>7</v>
      </c>
      <c r="I73" s="17">
        <f t="shared" si="19"/>
        <v>7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 t="shared" si="20"/>
        <v>0</v>
      </c>
      <c r="Q73" s="15">
        <v>0</v>
      </c>
      <c r="R73" s="15">
        <v>7</v>
      </c>
      <c r="S73" s="15">
        <v>0</v>
      </c>
      <c r="T73" s="15">
        <v>0</v>
      </c>
      <c r="U73" s="15">
        <v>0</v>
      </c>
      <c r="V73" s="18"/>
      <c r="W73" s="18"/>
      <c r="AB73" s="34"/>
    </row>
    <row r="74" spans="1:28" s="49" customFormat="1" ht="18.75" customHeight="1">
      <c r="A74" s="47"/>
      <c r="B74" s="131"/>
      <c r="C74" s="20" t="s">
        <v>12</v>
      </c>
      <c r="D74" s="24"/>
      <c r="E74" s="48"/>
      <c r="F74" s="24">
        <f>SUM(F68:F73)</f>
        <v>1</v>
      </c>
      <c r="G74" s="24">
        <f>SUM(G68:G73)</f>
        <v>27</v>
      </c>
      <c r="H74" s="24">
        <f>SUM(H68:H73)</f>
        <v>107</v>
      </c>
      <c r="I74" s="40">
        <f t="shared" si="19"/>
        <v>135</v>
      </c>
      <c r="J74" s="24">
        <f aca="true" t="shared" si="21" ref="J74:O74">SUM(J68:J73)</f>
        <v>3</v>
      </c>
      <c r="K74" s="24">
        <f t="shared" si="21"/>
        <v>0</v>
      </c>
      <c r="L74" s="24">
        <f t="shared" si="21"/>
        <v>1</v>
      </c>
      <c r="M74" s="24">
        <f t="shared" si="21"/>
        <v>0</v>
      </c>
      <c r="N74" s="24">
        <f t="shared" si="21"/>
        <v>0</v>
      </c>
      <c r="O74" s="24">
        <f t="shared" si="21"/>
        <v>0</v>
      </c>
      <c r="P74" s="24">
        <f t="shared" si="20"/>
        <v>4</v>
      </c>
      <c r="Q74" s="24">
        <f>SUM(Q68:Q73)</f>
        <v>27</v>
      </c>
      <c r="R74" s="24">
        <f>SUM(R68:R73)</f>
        <v>104</v>
      </c>
      <c r="S74" s="24">
        <f>SUM(S68:S73)</f>
        <v>0</v>
      </c>
      <c r="T74" s="24">
        <f>SUM(T68:T73)</f>
        <v>0</v>
      </c>
      <c r="U74" s="24">
        <f>SUM(U68:U73)</f>
        <v>0</v>
      </c>
      <c r="V74" s="26">
        <f>IF(I74-Q74=0,"",IF(D74="",(P74+S74)/(I74-Q74),IF(AND(D74&lt;&gt;"",(P74+S74)/(I74-Q74)&gt;=50%),(P74+S74)/(I74-Q74),"")))</f>
        <v>0.037037037037037035</v>
      </c>
      <c r="W74" s="26">
        <f>IF(I74=O74,"",IF(V74="",0,(P74+Q74+S74-O74)/(I74-O74)))</f>
        <v>0.22962962962962963</v>
      </c>
      <c r="AB74" s="50"/>
    </row>
    <row r="75" spans="1:28" s="30" customFormat="1" ht="22.5" customHeight="1">
      <c r="A75" s="32"/>
      <c r="B75" s="131" t="s">
        <v>45</v>
      </c>
      <c r="C75" s="14" t="s">
        <v>154</v>
      </c>
      <c r="D75" s="29"/>
      <c r="E75" s="16" t="s">
        <v>27</v>
      </c>
      <c r="F75" s="15"/>
      <c r="G75" s="15"/>
      <c r="H75" s="15"/>
      <c r="I75" s="17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8"/>
      <c r="W75" s="18"/>
      <c r="AB75" s="34"/>
    </row>
    <row r="76" spans="1:28" s="30" customFormat="1" ht="18.75" customHeight="1">
      <c r="A76" s="32">
        <v>36</v>
      </c>
      <c r="B76" s="131"/>
      <c r="C76" s="20" t="str">
        <f>IF(A76="","VARA",VLOOKUP(A76,'[1]varas'!$A$4:$B$67,2))</f>
        <v>3ª VT Jaboatão</v>
      </c>
      <c r="D76" s="15"/>
      <c r="E76" s="16"/>
      <c r="F76" s="15">
        <f>44+10+11+8</f>
        <v>73</v>
      </c>
      <c r="G76" s="15">
        <v>0</v>
      </c>
      <c r="H76" s="15">
        <v>0</v>
      </c>
      <c r="I76" s="17">
        <f>SUM(F76:H76)</f>
        <v>73</v>
      </c>
      <c r="J76" s="15">
        <v>10</v>
      </c>
      <c r="K76" s="15">
        <v>28</v>
      </c>
      <c r="L76" s="15">
        <v>11</v>
      </c>
      <c r="M76" s="15">
        <v>8</v>
      </c>
      <c r="N76" s="15">
        <v>0</v>
      </c>
      <c r="O76" s="15">
        <v>10</v>
      </c>
      <c r="P76" s="15">
        <f>SUM(J76:O76)</f>
        <v>67</v>
      </c>
      <c r="Q76" s="15">
        <v>6</v>
      </c>
      <c r="R76" s="15">
        <v>0</v>
      </c>
      <c r="S76" s="15">
        <v>0</v>
      </c>
      <c r="T76" s="15">
        <v>0</v>
      </c>
      <c r="U76" s="15">
        <v>51</v>
      </c>
      <c r="V76" s="18"/>
      <c r="W76" s="18"/>
      <c r="AB76" s="34"/>
    </row>
    <row r="77" spans="1:41" s="53" customFormat="1" ht="18.75" customHeight="1">
      <c r="A77" s="47"/>
      <c r="B77" s="131"/>
      <c r="C77" s="21" t="s">
        <v>12</v>
      </c>
      <c r="D77" s="51"/>
      <c r="E77" s="52"/>
      <c r="F77" s="24">
        <f>SUM(F75:F76)</f>
        <v>73</v>
      </c>
      <c r="G77" s="24">
        <f>SUM(G75:G76)</f>
        <v>0</v>
      </c>
      <c r="H77" s="24">
        <f>SUM(H75:H76)</f>
        <v>0</v>
      </c>
      <c r="I77" s="25">
        <f>SUM(F77:H77)</f>
        <v>73</v>
      </c>
      <c r="J77" s="24">
        <f aca="true" t="shared" si="22" ref="J77:O77">SUM(J75:J76)</f>
        <v>10</v>
      </c>
      <c r="K77" s="24">
        <f t="shared" si="22"/>
        <v>28</v>
      </c>
      <c r="L77" s="24">
        <f t="shared" si="22"/>
        <v>11</v>
      </c>
      <c r="M77" s="24">
        <f t="shared" si="22"/>
        <v>8</v>
      </c>
      <c r="N77" s="24">
        <f t="shared" si="22"/>
        <v>0</v>
      </c>
      <c r="O77" s="24">
        <f t="shared" si="22"/>
        <v>10</v>
      </c>
      <c r="P77" s="24">
        <f>SUM(J77:O77)</f>
        <v>67</v>
      </c>
      <c r="Q77" s="24">
        <f>SUM(Q75:Q76)</f>
        <v>6</v>
      </c>
      <c r="R77" s="24">
        <f>SUM(R75:R76)</f>
        <v>0</v>
      </c>
      <c r="S77" s="24">
        <f>SUM(S75:S76)</f>
        <v>0</v>
      </c>
      <c r="T77" s="24">
        <f>SUM(T75:T76)</f>
        <v>0</v>
      </c>
      <c r="U77" s="24">
        <f>SUM(U75:U76)</f>
        <v>51</v>
      </c>
      <c r="V77" s="26">
        <f>IF(I77-Q77=0,"",IF(D77="",(P77+S77)/(I77-Q77),IF(AND(D77&lt;&gt;"",(P77+S77)/(I77-Q77)&gt;=50%),(P77+S77)/(I77-Q77),"")))</f>
        <v>1</v>
      </c>
      <c r="W77" s="26">
        <f>IF(I77=O77,"",IF(V77="",0,(P77+Q77+S77-O77)/(I77-O77)))</f>
        <v>1</v>
      </c>
      <c r="X77" s="49"/>
      <c r="Y77" s="49"/>
      <c r="Z77" s="49"/>
      <c r="AA77" s="49"/>
      <c r="AB77" s="50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</row>
    <row r="78" spans="1:41" s="39" customFormat="1" ht="22.5" customHeight="1">
      <c r="A78" s="32"/>
      <c r="B78" s="137" t="s">
        <v>46</v>
      </c>
      <c r="C78" s="14" t="s">
        <v>2</v>
      </c>
      <c r="D78" s="29"/>
      <c r="E78" s="16" t="s">
        <v>27</v>
      </c>
      <c r="F78" s="15"/>
      <c r="G78" s="15"/>
      <c r="H78" s="15"/>
      <c r="I78" s="17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8"/>
      <c r="W78" s="18"/>
      <c r="X78" s="30"/>
      <c r="Y78" s="30"/>
      <c r="Z78" s="30"/>
      <c r="AA78" s="30"/>
      <c r="AB78" s="34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</row>
    <row r="79" spans="1:41" s="39" customFormat="1" ht="18" customHeight="1">
      <c r="A79" s="32">
        <v>26</v>
      </c>
      <c r="B79" s="137"/>
      <c r="C79" s="20" t="str">
        <f>IF(A79="","VARA",VLOOKUP(A79,'[1]varas'!$A$4:$B$67,2))</f>
        <v>1ª VT Cabo</v>
      </c>
      <c r="D79" s="15"/>
      <c r="E79" s="16"/>
      <c r="F79" s="15">
        <f>39+20+8+5</f>
        <v>72</v>
      </c>
      <c r="G79" s="15">
        <v>0</v>
      </c>
      <c r="H79" s="15">
        <v>0</v>
      </c>
      <c r="I79" s="17">
        <f>SUM(F79:H79)</f>
        <v>72</v>
      </c>
      <c r="J79" s="15">
        <v>17</v>
      </c>
      <c r="K79" s="15">
        <v>19</v>
      </c>
      <c r="L79" s="15">
        <v>8</v>
      </c>
      <c r="M79" s="15">
        <v>2</v>
      </c>
      <c r="N79" s="15">
        <v>2</v>
      </c>
      <c r="O79" s="15">
        <v>20</v>
      </c>
      <c r="P79" s="15">
        <f>SUM(J79:O79)</f>
        <v>68</v>
      </c>
      <c r="Q79" s="15">
        <v>4</v>
      </c>
      <c r="R79" s="15">
        <v>0</v>
      </c>
      <c r="S79" s="15">
        <v>0</v>
      </c>
      <c r="T79" s="15">
        <v>0</v>
      </c>
      <c r="U79" s="15">
        <v>118</v>
      </c>
      <c r="V79" s="18"/>
      <c r="W79" s="18"/>
      <c r="X79" s="30"/>
      <c r="Y79" s="30"/>
      <c r="Z79" s="30"/>
      <c r="AA79" s="30"/>
      <c r="AB79" s="34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</row>
    <row r="80" spans="1:41" s="53" customFormat="1" ht="18.75" customHeight="1">
      <c r="A80" s="47"/>
      <c r="B80" s="131"/>
      <c r="C80" s="21" t="s">
        <v>12</v>
      </c>
      <c r="D80" s="51"/>
      <c r="E80" s="52"/>
      <c r="F80" s="24">
        <f>SUM(F78:F79)</f>
        <v>72</v>
      </c>
      <c r="G80" s="24">
        <f>SUM(G78:G79)</f>
        <v>0</v>
      </c>
      <c r="H80" s="24">
        <f>SUM(H78:H79)</f>
        <v>0</v>
      </c>
      <c r="I80" s="25">
        <f>SUM(F80:H80)</f>
        <v>72</v>
      </c>
      <c r="J80" s="24">
        <f aca="true" t="shared" si="23" ref="J80:O80">SUM(J78:J79)</f>
        <v>17</v>
      </c>
      <c r="K80" s="24">
        <f t="shared" si="23"/>
        <v>19</v>
      </c>
      <c r="L80" s="24">
        <f t="shared" si="23"/>
        <v>8</v>
      </c>
      <c r="M80" s="24">
        <f t="shared" si="23"/>
        <v>2</v>
      </c>
      <c r="N80" s="24">
        <f t="shared" si="23"/>
        <v>2</v>
      </c>
      <c r="O80" s="24">
        <f t="shared" si="23"/>
        <v>20</v>
      </c>
      <c r="P80" s="24">
        <f>SUM(J80:O80)</f>
        <v>68</v>
      </c>
      <c r="Q80" s="24">
        <f>SUM(Q78:Q79)</f>
        <v>4</v>
      </c>
      <c r="R80" s="24">
        <f>SUM(R78:R79)</f>
        <v>0</v>
      </c>
      <c r="S80" s="24">
        <f>SUM(S78:S79)</f>
        <v>0</v>
      </c>
      <c r="T80" s="24">
        <f>SUM(T78:T79)</f>
        <v>0</v>
      </c>
      <c r="U80" s="24">
        <f>SUM(U78:U79)</f>
        <v>118</v>
      </c>
      <c r="V80" s="26">
        <f>IF(I80-Q80=0,"",IF(D80="",(P80+S80)/(I80-Q80),IF(AND(D80&lt;&gt;"",(P80+S80)/(I80-Q80)&gt;=50%),(P80+S80)/(I80-Q80),"")))</f>
        <v>1</v>
      </c>
      <c r="W80" s="26">
        <f>IF(I80=O80,"",IF(V80="",0,(P80+Q80+S80-O80)/(I80-O80)))</f>
        <v>1</v>
      </c>
      <c r="X80" s="49"/>
      <c r="Y80" s="49"/>
      <c r="Z80" s="49"/>
      <c r="AA80" s="49"/>
      <c r="AB80" s="50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</row>
    <row r="81" spans="1:41" s="39" customFormat="1" ht="22.5" customHeight="1">
      <c r="A81" s="32"/>
      <c r="B81" s="138" t="s">
        <v>47</v>
      </c>
      <c r="C81" s="105" t="s">
        <v>2</v>
      </c>
      <c r="D81" s="29"/>
      <c r="E81" s="16" t="s">
        <v>27</v>
      </c>
      <c r="F81" s="15"/>
      <c r="G81" s="15"/>
      <c r="H81" s="15"/>
      <c r="I81" s="17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8"/>
      <c r="W81" s="18"/>
      <c r="X81" s="30"/>
      <c r="Y81" s="30"/>
      <c r="Z81" s="30"/>
      <c r="AA81" s="30"/>
      <c r="AB81" s="34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</row>
    <row r="82" spans="1:41" s="39" customFormat="1" ht="18" customHeight="1">
      <c r="A82" s="32">
        <v>25</v>
      </c>
      <c r="B82" s="139"/>
      <c r="C82" s="106" t="str">
        <f>IF(A82="","VARA",VLOOKUP(A82,'[1]varas'!$A$4:$B$67,2))</f>
        <v>2ª VT Barreiros</v>
      </c>
      <c r="D82" s="29"/>
      <c r="E82" s="16"/>
      <c r="F82" s="15">
        <f>21+15+5+7</f>
        <v>48</v>
      </c>
      <c r="G82" s="15">
        <v>34</v>
      </c>
      <c r="H82" s="15">
        <v>0</v>
      </c>
      <c r="I82" s="17">
        <f>SUM(F82:H82)</f>
        <v>82</v>
      </c>
      <c r="J82" s="15">
        <v>34</v>
      </c>
      <c r="K82" s="15">
        <v>2</v>
      </c>
      <c r="L82" s="15">
        <v>5</v>
      </c>
      <c r="M82" s="15">
        <v>7</v>
      </c>
      <c r="N82" s="15">
        <v>0</v>
      </c>
      <c r="O82" s="15">
        <v>15</v>
      </c>
      <c r="P82" s="15">
        <f>SUM(J82:O82)</f>
        <v>63</v>
      </c>
      <c r="Q82" s="15">
        <v>19</v>
      </c>
      <c r="R82" s="15">
        <v>0</v>
      </c>
      <c r="S82" s="15">
        <v>0</v>
      </c>
      <c r="T82" s="15">
        <v>0</v>
      </c>
      <c r="U82" s="15">
        <v>103</v>
      </c>
      <c r="V82" s="18"/>
      <c r="W82" s="18"/>
      <c r="X82" s="30"/>
      <c r="Y82" s="30"/>
      <c r="Z82" s="30"/>
      <c r="AA82" s="30"/>
      <c r="AB82" s="34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</row>
    <row r="83" spans="1:41" s="53" customFormat="1" ht="18" customHeight="1">
      <c r="A83" s="47"/>
      <c r="B83" s="135"/>
      <c r="C83" s="107" t="s">
        <v>12</v>
      </c>
      <c r="D83" s="51"/>
      <c r="E83" s="52"/>
      <c r="F83" s="24">
        <f>SUM(F81:F82)</f>
        <v>48</v>
      </c>
      <c r="G83" s="24">
        <f>SUM(G81:G82)</f>
        <v>34</v>
      </c>
      <c r="H83" s="24">
        <f>SUM(H81:H82)</f>
        <v>0</v>
      </c>
      <c r="I83" s="25">
        <f>SUM(F83:H83)</f>
        <v>82</v>
      </c>
      <c r="J83" s="24">
        <f aca="true" t="shared" si="24" ref="J83:O83">SUM(J81:J82)</f>
        <v>34</v>
      </c>
      <c r="K83" s="24">
        <f t="shared" si="24"/>
        <v>2</v>
      </c>
      <c r="L83" s="24">
        <f t="shared" si="24"/>
        <v>5</v>
      </c>
      <c r="M83" s="24">
        <f t="shared" si="24"/>
        <v>7</v>
      </c>
      <c r="N83" s="24">
        <f t="shared" si="24"/>
        <v>0</v>
      </c>
      <c r="O83" s="24">
        <f t="shared" si="24"/>
        <v>15</v>
      </c>
      <c r="P83" s="24">
        <f>SUM(J83:O83)</f>
        <v>63</v>
      </c>
      <c r="Q83" s="24">
        <f>SUM(Q81:Q82)</f>
        <v>19</v>
      </c>
      <c r="R83" s="24">
        <f>SUM(R81:R82)</f>
        <v>0</v>
      </c>
      <c r="S83" s="24">
        <f>SUM(S81:S82)</f>
        <v>0</v>
      </c>
      <c r="T83" s="24">
        <f>SUM(T81:T82)</f>
        <v>0</v>
      </c>
      <c r="U83" s="24">
        <f>SUM(U81:U82)</f>
        <v>103</v>
      </c>
      <c r="V83" s="26">
        <f>IF(I83-Q83=0,"",IF(D83="",(P83+S83)/(I83-Q83),IF(AND(D83&lt;&gt;"",(P83+S83)/(I83-Q83)&gt;=50%),(P83+S83)/(I83-Q83),"")))</f>
        <v>1</v>
      </c>
      <c r="W83" s="26">
        <f>IF(I83=O83,"",IF(V83="",0,(P83+Q83+S83-O83)/(I83-O83)))</f>
        <v>1</v>
      </c>
      <c r="X83" s="49"/>
      <c r="Y83" s="49"/>
      <c r="Z83" s="49"/>
      <c r="AA83" s="49"/>
      <c r="AB83" s="50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</row>
    <row r="84" spans="1:41" s="39" customFormat="1" ht="21.75" customHeight="1">
      <c r="A84" s="32"/>
      <c r="B84" s="138" t="s">
        <v>48</v>
      </c>
      <c r="C84" s="105" t="s">
        <v>156</v>
      </c>
      <c r="D84" s="29"/>
      <c r="E84" s="16" t="s">
        <v>27</v>
      </c>
      <c r="F84" s="15"/>
      <c r="G84" s="15"/>
      <c r="H84" s="15"/>
      <c r="I84" s="17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8"/>
      <c r="W84" s="18"/>
      <c r="X84" s="30"/>
      <c r="Y84" s="30"/>
      <c r="Z84" s="30"/>
      <c r="AA84" s="30"/>
      <c r="AB84" s="34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</row>
    <row r="85" spans="1:41" s="39" customFormat="1" ht="19.5" customHeight="1">
      <c r="A85" s="32">
        <v>14</v>
      </c>
      <c r="B85" s="139"/>
      <c r="C85" s="106" t="str">
        <f>IF(A85="","VARA",VLOOKUP(A85,'[1]varas'!$A$4:$B$67,2))</f>
        <v>14ª VT Recife</v>
      </c>
      <c r="D85" s="29"/>
      <c r="E85" s="16"/>
      <c r="F85" s="15">
        <f>45+12+7+3</f>
        <v>67</v>
      </c>
      <c r="G85" s="15">
        <v>12</v>
      </c>
      <c r="H85" s="15">
        <v>52</v>
      </c>
      <c r="I85" s="17">
        <f>SUM(F85:H85)</f>
        <v>131</v>
      </c>
      <c r="J85" s="15">
        <v>33</v>
      </c>
      <c r="K85" s="15">
        <v>8</v>
      </c>
      <c r="L85" s="15">
        <v>7</v>
      </c>
      <c r="M85" s="15">
        <v>3</v>
      </c>
      <c r="N85" s="15">
        <v>0</v>
      </c>
      <c r="O85" s="15">
        <v>12</v>
      </c>
      <c r="P85" s="15">
        <f>SUM(J85:O85)</f>
        <v>63</v>
      </c>
      <c r="Q85" s="15">
        <v>13</v>
      </c>
      <c r="R85" s="15">
        <v>55</v>
      </c>
      <c r="S85" s="15">
        <v>0</v>
      </c>
      <c r="T85" s="15">
        <v>0</v>
      </c>
      <c r="U85" s="15">
        <v>109</v>
      </c>
      <c r="V85" s="18"/>
      <c r="W85" s="18"/>
      <c r="X85" s="30"/>
      <c r="Y85" s="30"/>
      <c r="Z85" s="30"/>
      <c r="AA85" s="30"/>
      <c r="AB85" s="34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1:41" s="39" customFormat="1" ht="19.5" customHeight="1">
      <c r="A86" s="32">
        <v>15</v>
      </c>
      <c r="B86" s="139"/>
      <c r="C86" s="106" t="str">
        <f>IF(A86="","VARA",VLOOKUP(A86,'[1]varas'!$A$4:$B$67,2))</f>
        <v>15ª VT Recife</v>
      </c>
      <c r="D86" s="15"/>
      <c r="E86" s="16"/>
      <c r="F86" s="15">
        <v>0</v>
      </c>
      <c r="G86" s="15">
        <v>1</v>
      </c>
      <c r="H86" s="15">
        <v>1</v>
      </c>
      <c r="I86" s="17">
        <f>SUM(F86:H86)</f>
        <v>2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f>SUM(J86:O86)</f>
        <v>0</v>
      </c>
      <c r="Q86" s="15">
        <v>0</v>
      </c>
      <c r="R86" s="15">
        <v>2</v>
      </c>
      <c r="S86" s="15">
        <v>0</v>
      </c>
      <c r="T86" s="15">
        <v>0</v>
      </c>
      <c r="U86" s="15">
        <v>0</v>
      </c>
      <c r="V86" s="18"/>
      <c r="W86" s="18"/>
      <c r="X86" s="30"/>
      <c r="Y86" s="30"/>
      <c r="Z86" s="30"/>
      <c r="AA86" s="30"/>
      <c r="AB86" s="34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</row>
    <row r="87" spans="1:41" s="39" customFormat="1" ht="18" customHeight="1">
      <c r="A87" s="32">
        <v>61</v>
      </c>
      <c r="B87" s="139"/>
      <c r="C87" s="106" t="str">
        <f>IF(A87="","VARA",VLOOKUP(A87,'[1]varas'!$A$4:$B$67,2))</f>
        <v>VT Vitória</v>
      </c>
      <c r="D87" s="15"/>
      <c r="E87" s="16"/>
      <c r="F87" s="15">
        <v>4</v>
      </c>
      <c r="G87" s="15">
        <v>0</v>
      </c>
      <c r="H87" s="15">
        <v>0</v>
      </c>
      <c r="I87" s="17">
        <f>SUM(F87:H87)</f>
        <v>4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3</v>
      </c>
      <c r="P87" s="15">
        <f>SUM(J87:O87)</f>
        <v>3</v>
      </c>
      <c r="Q87" s="15">
        <v>1</v>
      </c>
      <c r="R87" s="15">
        <v>0</v>
      </c>
      <c r="S87" s="15">
        <v>0</v>
      </c>
      <c r="T87" s="15">
        <v>0</v>
      </c>
      <c r="U87" s="15">
        <v>15</v>
      </c>
      <c r="V87" s="18"/>
      <c r="W87" s="18"/>
      <c r="X87" s="30"/>
      <c r="Y87" s="30"/>
      <c r="Z87" s="30"/>
      <c r="AA87" s="30"/>
      <c r="AB87" s="34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</row>
    <row r="88" spans="1:41" s="53" customFormat="1" ht="16.5" customHeight="1">
      <c r="A88" s="47"/>
      <c r="B88" s="135"/>
      <c r="C88" s="106" t="s">
        <v>12</v>
      </c>
      <c r="D88" s="24"/>
      <c r="E88" s="48"/>
      <c r="F88" s="24">
        <f>SUM(F84:F87)</f>
        <v>71</v>
      </c>
      <c r="G88" s="24">
        <f>SUM(G84:G87)</f>
        <v>13</v>
      </c>
      <c r="H88" s="24">
        <f>SUM(H84:H87)</f>
        <v>53</v>
      </c>
      <c r="I88" s="40">
        <f>SUM(F88:H88)</f>
        <v>137</v>
      </c>
      <c r="J88" s="24">
        <f aca="true" t="shared" si="25" ref="J88:O88">SUM(J84:J87)</f>
        <v>33</v>
      </c>
      <c r="K88" s="24">
        <f t="shared" si="25"/>
        <v>8</v>
      </c>
      <c r="L88" s="24">
        <f t="shared" si="25"/>
        <v>7</v>
      </c>
      <c r="M88" s="24">
        <f t="shared" si="25"/>
        <v>3</v>
      </c>
      <c r="N88" s="24">
        <f t="shared" si="25"/>
        <v>0</v>
      </c>
      <c r="O88" s="24">
        <f t="shared" si="25"/>
        <v>15</v>
      </c>
      <c r="P88" s="24">
        <f>SUM(J88:O88)</f>
        <v>66</v>
      </c>
      <c r="Q88" s="24">
        <f>SUM(Q84:Q87)</f>
        <v>14</v>
      </c>
      <c r="R88" s="24">
        <f>SUM(R84:R87)</f>
        <v>57</v>
      </c>
      <c r="S88" s="24">
        <f>SUM(S84:S87)</f>
        <v>0</v>
      </c>
      <c r="T88" s="24">
        <f>SUM(T84:T87)</f>
        <v>0</v>
      </c>
      <c r="U88" s="24">
        <f>SUM(U84:U87)</f>
        <v>124</v>
      </c>
      <c r="V88" s="26">
        <f>IF(I88-Q88=0,"",IF(D88="",(P88+S88)/(I88-Q88),IF(AND(D88&lt;&gt;"",(P88+S88)/(I88-Q88)&gt;=50%),(P88+S88)/(I88-Q88),"")))</f>
        <v>0.5365853658536586</v>
      </c>
      <c r="W88" s="26">
        <f>IF(I88=O88,"",IF(V88="",0,(P88+Q88+S88-O88)/(I88-O88)))</f>
        <v>0.5327868852459017</v>
      </c>
      <c r="X88" s="49"/>
      <c r="Y88" s="49"/>
      <c r="Z88" s="49"/>
      <c r="AA88" s="49"/>
      <c r="AB88" s="50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</row>
    <row r="89" spans="1:41" s="39" customFormat="1" ht="21.75" customHeight="1">
      <c r="A89" s="32"/>
      <c r="B89" s="138" t="s">
        <v>49</v>
      </c>
      <c r="C89" s="105" t="s">
        <v>2</v>
      </c>
      <c r="D89" s="29" t="s">
        <v>30</v>
      </c>
      <c r="E89" s="16" t="s">
        <v>197</v>
      </c>
      <c r="F89" s="15"/>
      <c r="G89" s="15"/>
      <c r="H89" s="15"/>
      <c r="I89" s="17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8"/>
      <c r="W89" s="18"/>
      <c r="X89" s="30"/>
      <c r="Y89" s="30"/>
      <c r="Z89" s="30"/>
      <c r="AA89" s="30"/>
      <c r="AB89" s="34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</row>
    <row r="90" spans="1:41" s="39" customFormat="1" ht="19.5" customHeight="1">
      <c r="A90" s="32">
        <v>45</v>
      </c>
      <c r="B90" s="139"/>
      <c r="C90" s="106" t="str">
        <f>IF(A90="","VARA",VLOOKUP(A90,'[1]varas'!$A$4:$B$67,2))</f>
        <v>VT Araripina</v>
      </c>
      <c r="D90" s="15"/>
      <c r="E90" s="16"/>
      <c r="F90" s="15">
        <v>1</v>
      </c>
      <c r="G90" s="15">
        <v>0</v>
      </c>
      <c r="H90" s="15">
        <v>27</v>
      </c>
      <c r="I90" s="17">
        <f>SUM(F90:H90)</f>
        <v>28</v>
      </c>
      <c r="J90" s="15">
        <v>12</v>
      </c>
      <c r="K90" s="15">
        <v>0</v>
      </c>
      <c r="L90" s="15">
        <v>1</v>
      </c>
      <c r="M90" s="15">
        <v>0</v>
      </c>
      <c r="N90" s="15">
        <v>0</v>
      </c>
      <c r="O90" s="15">
        <v>0</v>
      </c>
      <c r="P90" s="15">
        <f>SUM(J90:O90)</f>
        <v>13</v>
      </c>
      <c r="Q90" s="15">
        <v>0</v>
      </c>
      <c r="R90" s="15">
        <v>15</v>
      </c>
      <c r="S90" s="15">
        <v>0</v>
      </c>
      <c r="T90" s="15">
        <v>0</v>
      </c>
      <c r="U90" s="15">
        <v>0</v>
      </c>
      <c r="V90" s="18"/>
      <c r="W90" s="18"/>
      <c r="X90" s="30"/>
      <c r="Y90" s="30"/>
      <c r="Z90" s="30"/>
      <c r="AA90" s="30"/>
      <c r="AB90" s="34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1:41" s="53" customFormat="1" ht="17.25" customHeight="1">
      <c r="A91" s="47"/>
      <c r="B91" s="135"/>
      <c r="C91" s="107" t="s">
        <v>12</v>
      </c>
      <c r="D91" s="51"/>
      <c r="E91" s="52"/>
      <c r="F91" s="24">
        <f>SUM(F89:F90)</f>
        <v>1</v>
      </c>
      <c r="G91" s="24">
        <f>SUM(G89:G90)</f>
        <v>0</v>
      </c>
      <c r="H91" s="24">
        <f>SUM(H89:H90)</f>
        <v>27</v>
      </c>
      <c r="I91" s="25">
        <f>SUM(F91:H91)</f>
        <v>28</v>
      </c>
      <c r="J91" s="24">
        <f aca="true" t="shared" si="26" ref="J91:O91">SUM(J89:J90)</f>
        <v>12</v>
      </c>
      <c r="K91" s="24">
        <f t="shared" si="26"/>
        <v>0</v>
      </c>
      <c r="L91" s="24">
        <f t="shared" si="26"/>
        <v>1</v>
      </c>
      <c r="M91" s="24">
        <f t="shared" si="26"/>
        <v>0</v>
      </c>
      <c r="N91" s="24">
        <f t="shared" si="26"/>
        <v>0</v>
      </c>
      <c r="O91" s="24">
        <f t="shared" si="26"/>
        <v>0</v>
      </c>
      <c r="P91" s="24">
        <f>SUM(J91:O91)</f>
        <v>13</v>
      </c>
      <c r="Q91" s="24">
        <f>SUM(Q89:Q90)</f>
        <v>0</v>
      </c>
      <c r="R91" s="24">
        <f>SUM(R89:R90)</f>
        <v>15</v>
      </c>
      <c r="S91" s="24">
        <f>SUM(S89:S90)</f>
        <v>0</v>
      </c>
      <c r="T91" s="24">
        <f>SUM(T89:T90)</f>
        <v>0</v>
      </c>
      <c r="U91" s="24">
        <f>SUM(U89:U90)</f>
        <v>0</v>
      </c>
      <c r="V91" s="26">
        <f>IF(I91-Q91=0,"",IF(D91="",(P91+S91)/(I91-Q91),IF(AND(D91&lt;&gt;"",(P91+S91)/(I91-Q91)&gt;=50%),(P91+S91)/(I91-Q91),"")))</f>
        <v>0.4642857142857143</v>
      </c>
      <c r="W91" s="26">
        <f>IF(I91=O91,"",IF(V91="",0,(P91+Q91+S91-O91)/(I91-O91)))</f>
        <v>0.4642857142857143</v>
      </c>
      <c r="X91" s="49"/>
      <c r="Y91" s="49"/>
      <c r="Z91" s="49"/>
      <c r="AA91" s="49"/>
      <c r="AB91" s="50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</row>
    <row r="92" spans="1:41" s="39" customFormat="1" ht="18.75" customHeight="1">
      <c r="A92" s="32"/>
      <c r="B92" s="130" t="s">
        <v>50</v>
      </c>
      <c r="C92" s="14" t="s">
        <v>2</v>
      </c>
      <c r="D92" s="29" t="s">
        <v>43</v>
      </c>
      <c r="E92" s="16" t="s">
        <v>202</v>
      </c>
      <c r="F92" s="15"/>
      <c r="G92" s="15"/>
      <c r="H92" s="15"/>
      <c r="I92" s="17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8"/>
      <c r="W92" s="18"/>
      <c r="X92" s="30"/>
      <c r="Y92" s="30"/>
      <c r="Z92" s="30"/>
      <c r="AA92" s="30"/>
      <c r="AB92" s="34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</row>
    <row r="93" spans="1:41" s="39" customFormat="1" ht="18" customHeight="1">
      <c r="A93" s="32">
        <v>17</v>
      </c>
      <c r="B93" s="137"/>
      <c r="C93" s="20" t="str">
        <f>IF(A93="","VARA",VLOOKUP(A93,'[1]varas'!$A$4:$B$67,2))</f>
        <v>17ª VT Recife</v>
      </c>
      <c r="D93" s="29"/>
      <c r="E93" s="16"/>
      <c r="F93" s="15">
        <v>0</v>
      </c>
      <c r="G93" s="15">
        <v>0</v>
      </c>
      <c r="H93" s="15">
        <v>0</v>
      </c>
      <c r="I93" s="17">
        <f>SUM(F93:H93)</f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f>SUM(J93:O93)</f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8"/>
      <c r="W93" s="18"/>
      <c r="X93" s="30"/>
      <c r="Y93" s="30"/>
      <c r="Z93" s="30"/>
      <c r="AA93" s="30"/>
      <c r="AB93" s="34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</row>
    <row r="94" spans="1:41" s="53" customFormat="1" ht="18" customHeight="1">
      <c r="A94" s="47"/>
      <c r="B94" s="137"/>
      <c r="C94" s="20" t="s">
        <v>12</v>
      </c>
      <c r="D94" s="24"/>
      <c r="E94" s="48"/>
      <c r="F94" s="24">
        <f>SUM(F92:F93)</f>
        <v>0</v>
      </c>
      <c r="G94" s="24">
        <f>SUM(G92:G93)</f>
        <v>0</v>
      </c>
      <c r="H94" s="24">
        <f>SUM(H92:H93)</f>
        <v>0</v>
      </c>
      <c r="I94" s="40">
        <f>SUM(F94:H94)</f>
        <v>0</v>
      </c>
      <c r="J94" s="24">
        <f aca="true" t="shared" si="27" ref="J94:O94">SUM(J92:J93)</f>
        <v>0</v>
      </c>
      <c r="K94" s="24">
        <f t="shared" si="27"/>
        <v>0</v>
      </c>
      <c r="L94" s="24">
        <f t="shared" si="27"/>
        <v>0</v>
      </c>
      <c r="M94" s="24">
        <f t="shared" si="27"/>
        <v>0</v>
      </c>
      <c r="N94" s="24">
        <f t="shared" si="27"/>
        <v>0</v>
      </c>
      <c r="O94" s="24">
        <f t="shared" si="27"/>
        <v>0</v>
      </c>
      <c r="P94" s="24">
        <f>SUM(J94:O94)</f>
        <v>0</v>
      </c>
      <c r="Q94" s="24">
        <f>SUM(Q92:Q93)</f>
        <v>0</v>
      </c>
      <c r="R94" s="24">
        <f>SUM(R92:R93)</f>
        <v>0</v>
      </c>
      <c r="S94" s="24">
        <f>SUM(S92:S93)</f>
        <v>0</v>
      </c>
      <c r="T94" s="24">
        <f>SUM(T92:T93)</f>
        <v>0</v>
      </c>
      <c r="U94" s="24">
        <f>SUM(U92:U93)</f>
        <v>0</v>
      </c>
      <c r="V94" s="26">
        <f>IF(I94-Q94=0,"",IF(D94="",(P94+S94)/(I94-Q94),IF(AND(D94&lt;&gt;"",(P94+S94)/(I94-Q94)&gt;=50%),(P94+S94)/(I94-Q94),"")))</f>
      </c>
      <c r="W94" s="26">
        <f>IF(I94=O94,"",IF(V94="",0,(P94+Q94+S94-O94)/(I94-O94)))</f>
      </c>
      <c r="X94" s="49"/>
      <c r="Y94" s="49"/>
      <c r="Z94" s="49"/>
      <c r="AA94" s="49"/>
      <c r="AB94" s="50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</row>
    <row r="95" spans="1:41" s="39" customFormat="1" ht="18.75" customHeight="1">
      <c r="A95" s="32"/>
      <c r="B95" s="137" t="s">
        <v>51</v>
      </c>
      <c r="C95" s="14" t="s">
        <v>2</v>
      </c>
      <c r="D95" s="29"/>
      <c r="E95" s="16" t="s">
        <v>27</v>
      </c>
      <c r="F95" s="15"/>
      <c r="G95" s="15"/>
      <c r="H95" s="15"/>
      <c r="I95" s="17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8"/>
      <c r="W95" s="18"/>
      <c r="X95" s="30"/>
      <c r="Y95" s="30"/>
      <c r="Z95" s="30"/>
      <c r="AA95" s="30"/>
      <c r="AB95" s="34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</row>
    <row r="96" spans="1:41" s="39" customFormat="1" ht="17.25" customHeight="1">
      <c r="A96" s="32">
        <v>7</v>
      </c>
      <c r="B96" s="137"/>
      <c r="C96" s="20" t="str">
        <f>IF(A96="","VARA",VLOOKUP(A96,'[1]varas'!$A$4:$B$67,2))</f>
        <v>7ª VT Recife</v>
      </c>
      <c r="D96" s="15"/>
      <c r="E96" s="16"/>
      <c r="F96" s="15">
        <f>40+15+12+5</f>
        <v>72</v>
      </c>
      <c r="G96" s="15">
        <v>6</v>
      </c>
      <c r="H96" s="15">
        <v>1</v>
      </c>
      <c r="I96" s="17">
        <f>SUM(F96:H96)</f>
        <v>79</v>
      </c>
      <c r="J96" s="15">
        <v>16</v>
      </c>
      <c r="K96" s="15">
        <v>14</v>
      </c>
      <c r="L96" s="15">
        <v>12</v>
      </c>
      <c r="M96" s="15">
        <v>5</v>
      </c>
      <c r="N96" s="15">
        <v>0</v>
      </c>
      <c r="O96" s="15">
        <v>15</v>
      </c>
      <c r="P96" s="15">
        <f>SUM(J96:O96)</f>
        <v>62</v>
      </c>
      <c r="Q96" s="15">
        <v>15</v>
      </c>
      <c r="R96" s="15">
        <v>2</v>
      </c>
      <c r="S96" s="15">
        <v>0</v>
      </c>
      <c r="T96" s="15">
        <v>0</v>
      </c>
      <c r="U96" s="15">
        <v>117</v>
      </c>
      <c r="V96" s="18"/>
      <c r="W96" s="18"/>
      <c r="X96" s="30"/>
      <c r="Y96" s="30"/>
      <c r="Z96" s="30"/>
      <c r="AA96" s="30"/>
      <c r="AB96" s="34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</row>
    <row r="97" spans="1:41" s="53" customFormat="1" ht="18.75" customHeight="1">
      <c r="A97" s="47"/>
      <c r="B97" s="137"/>
      <c r="C97" s="21" t="s">
        <v>12</v>
      </c>
      <c r="D97" s="51"/>
      <c r="E97" s="52"/>
      <c r="F97" s="24">
        <f>SUM(F95:F96)</f>
        <v>72</v>
      </c>
      <c r="G97" s="24">
        <f>SUM(G95:G96)</f>
        <v>6</v>
      </c>
      <c r="H97" s="24">
        <f>SUM(H95:H96)</f>
        <v>1</v>
      </c>
      <c r="I97" s="25">
        <f>SUM(F97:H97)</f>
        <v>79</v>
      </c>
      <c r="J97" s="24">
        <f aca="true" t="shared" si="28" ref="J97:O97">SUM(J95:J96)</f>
        <v>16</v>
      </c>
      <c r="K97" s="24">
        <f t="shared" si="28"/>
        <v>14</v>
      </c>
      <c r="L97" s="24">
        <f t="shared" si="28"/>
        <v>12</v>
      </c>
      <c r="M97" s="24">
        <f t="shared" si="28"/>
        <v>5</v>
      </c>
      <c r="N97" s="24">
        <f t="shared" si="28"/>
        <v>0</v>
      </c>
      <c r="O97" s="24">
        <f t="shared" si="28"/>
        <v>15</v>
      </c>
      <c r="P97" s="24">
        <f>SUM(J97:O97)</f>
        <v>62</v>
      </c>
      <c r="Q97" s="24">
        <f>SUM(Q95:Q96)</f>
        <v>15</v>
      </c>
      <c r="R97" s="24">
        <f>SUM(R95:R96)</f>
        <v>2</v>
      </c>
      <c r="S97" s="24">
        <f>SUM(S95:S96)</f>
        <v>0</v>
      </c>
      <c r="T97" s="24">
        <f>SUM(T95:T96)</f>
        <v>0</v>
      </c>
      <c r="U97" s="24">
        <f>SUM(U95:U96)</f>
        <v>117</v>
      </c>
      <c r="V97" s="26">
        <f>IF(I97-Q97=0,"",IF(D97="",(P97+S97)/(I97-Q97),IF(AND(D97&lt;&gt;"",(P97+S97)/(I97-Q97)&gt;=50%),(P97+S97)/(I97-Q97),"")))</f>
        <v>0.96875</v>
      </c>
      <c r="W97" s="26">
        <f>IF(I97=O97,"",IF(V97="",0,(P97+Q97+S97-O97)/(I97-O97)))</f>
        <v>0.96875</v>
      </c>
      <c r="X97" s="49"/>
      <c r="Y97" s="49"/>
      <c r="Z97" s="49"/>
      <c r="AA97" s="49"/>
      <c r="AB97" s="50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</row>
    <row r="98" spans="1:41" s="39" customFormat="1" ht="24.75" customHeight="1">
      <c r="A98" s="32"/>
      <c r="B98" s="137" t="s">
        <v>52</v>
      </c>
      <c r="C98" s="14" t="s">
        <v>156</v>
      </c>
      <c r="D98" s="29" t="s">
        <v>43</v>
      </c>
      <c r="E98" s="16" t="s">
        <v>203</v>
      </c>
      <c r="F98" s="15"/>
      <c r="G98" s="15"/>
      <c r="H98" s="15"/>
      <c r="I98" s="17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8"/>
      <c r="W98" s="18"/>
      <c r="X98" s="30"/>
      <c r="Y98" s="30"/>
      <c r="Z98" s="30"/>
      <c r="AA98" s="30"/>
      <c r="AB98" s="34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</row>
    <row r="99" spans="1:41" s="39" customFormat="1" ht="24.75" customHeight="1">
      <c r="A99" s="32">
        <v>7</v>
      </c>
      <c r="B99" s="137"/>
      <c r="C99" s="20" t="str">
        <f>IF(A99="","VARA",VLOOKUP(A99,'[1]varas'!$A$4:$B$67,2))</f>
        <v>7ª VT Recife</v>
      </c>
      <c r="D99" s="29"/>
      <c r="E99" s="16"/>
      <c r="F99" s="15">
        <v>0</v>
      </c>
      <c r="G99" s="15">
        <v>21</v>
      </c>
      <c r="H99" s="15">
        <v>5</v>
      </c>
      <c r="I99" s="17">
        <f>SUM(F99:H99)</f>
        <v>26</v>
      </c>
      <c r="J99" s="15">
        <v>24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f>SUM(J99:O99)</f>
        <v>24</v>
      </c>
      <c r="Q99" s="15">
        <v>1</v>
      </c>
      <c r="R99" s="15">
        <v>1</v>
      </c>
      <c r="S99" s="15">
        <v>0</v>
      </c>
      <c r="T99" s="15">
        <v>0</v>
      </c>
      <c r="U99" s="15">
        <v>16</v>
      </c>
      <c r="V99" s="18"/>
      <c r="W99" s="18"/>
      <c r="X99" s="30"/>
      <c r="Y99" s="30"/>
      <c r="Z99" s="30"/>
      <c r="AA99" s="30"/>
      <c r="AB99" s="34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</row>
    <row r="100" spans="1:41" s="39" customFormat="1" ht="20.25" customHeight="1">
      <c r="A100" s="32">
        <v>11</v>
      </c>
      <c r="B100" s="137"/>
      <c r="C100" s="20" t="str">
        <f>IF(A100="","VARA",VLOOKUP(A100,'[1]varas'!$A$4:$B$67,2))</f>
        <v>11ª VT Recife</v>
      </c>
      <c r="D100" s="29"/>
      <c r="E100" s="16"/>
      <c r="F100" s="15">
        <v>0</v>
      </c>
      <c r="G100" s="15">
        <v>4</v>
      </c>
      <c r="H100" s="15">
        <v>0</v>
      </c>
      <c r="I100" s="17">
        <f>SUM(F100:H100)</f>
        <v>4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f>SUM(J100:O100)</f>
        <v>0</v>
      </c>
      <c r="Q100" s="15">
        <v>0</v>
      </c>
      <c r="R100" s="15">
        <v>4</v>
      </c>
      <c r="S100" s="15">
        <v>0</v>
      </c>
      <c r="T100" s="15">
        <v>0</v>
      </c>
      <c r="U100" s="15">
        <v>0</v>
      </c>
      <c r="V100" s="18"/>
      <c r="W100" s="18"/>
      <c r="X100" s="30"/>
      <c r="Y100" s="30"/>
      <c r="Z100" s="30"/>
      <c r="AA100" s="30"/>
      <c r="AB100" s="34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</row>
    <row r="101" spans="1:41" s="53" customFormat="1" ht="17.25" customHeight="1">
      <c r="A101" s="47"/>
      <c r="B101" s="137"/>
      <c r="C101" s="20" t="s">
        <v>12</v>
      </c>
      <c r="D101" s="24"/>
      <c r="E101" s="48"/>
      <c r="F101" s="24">
        <f>SUM(F98:F100)</f>
        <v>0</v>
      </c>
      <c r="G101" s="24">
        <f>SUM(G98:G100)</f>
        <v>25</v>
      </c>
      <c r="H101" s="24">
        <f>SUM(H98:H100)</f>
        <v>5</v>
      </c>
      <c r="I101" s="40">
        <f>SUM(F101:H101)</f>
        <v>30</v>
      </c>
      <c r="J101" s="24">
        <f aca="true" t="shared" si="29" ref="J101:O101">SUM(J98:J100)</f>
        <v>24</v>
      </c>
      <c r="K101" s="24">
        <f t="shared" si="29"/>
        <v>0</v>
      </c>
      <c r="L101" s="24">
        <f t="shared" si="29"/>
        <v>0</v>
      </c>
      <c r="M101" s="24">
        <f t="shared" si="29"/>
        <v>0</v>
      </c>
      <c r="N101" s="24">
        <f t="shared" si="29"/>
        <v>0</v>
      </c>
      <c r="O101" s="24">
        <f t="shared" si="29"/>
        <v>0</v>
      </c>
      <c r="P101" s="24">
        <f>SUM(J101:O101)</f>
        <v>24</v>
      </c>
      <c r="Q101" s="24">
        <f>SUM(Q98:Q100)</f>
        <v>1</v>
      </c>
      <c r="R101" s="24">
        <f>SUM(R98:R100)</f>
        <v>5</v>
      </c>
      <c r="S101" s="24">
        <f>SUM(S98:S100)</f>
        <v>0</v>
      </c>
      <c r="T101" s="24">
        <f>SUM(T98:T100)</f>
        <v>0</v>
      </c>
      <c r="U101" s="24">
        <f>SUM(U98:U100)</f>
        <v>16</v>
      </c>
      <c r="V101" s="26">
        <f>IF(I101-Q101=0,"",IF(D101="",(P101+S101)/(I101-Q101),IF(AND(D101&lt;&gt;"",(P101+S101)/(I101-Q101)&gt;=50%),(P101+S101)/(I101-Q101),"")))</f>
        <v>0.8275862068965517</v>
      </c>
      <c r="W101" s="26">
        <f>IF(I101=O101,"",IF(V101="",0,(P101+Q101+S101-O101)/(I101-O101)))</f>
        <v>0.8333333333333334</v>
      </c>
      <c r="X101" s="49"/>
      <c r="Y101" s="49"/>
      <c r="Z101" s="49"/>
      <c r="AA101" s="49"/>
      <c r="AB101" s="50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</row>
    <row r="102" spans="1:41" s="39" customFormat="1" ht="20.25" customHeight="1">
      <c r="A102" s="32"/>
      <c r="B102" s="137" t="s">
        <v>53</v>
      </c>
      <c r="C102" s="14" t="s">
        <v>156</v>
      </c>
      <c r="D102" s="29"/>
      <c r="E102" s="16" t="s">
        <v>27</v>
      </c>
      <c r="F102" s="15"/>
      <c r="G102" s="15"/>
      <c r="H102" s="15"/>
      <c r="I102" s="17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8"/>
      <c r="W102" s="18"/>
      <c r="X102" s="30"/>
      <c r="Y102" s="30"/>
      <c r="Z102" s="30"/>
      <c r="AA102" s="30"/>
      <c r="AB102" s="34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</row>
    <row r="103" spans="1:41" s="39" customFormat="1" ht="23.25" customHeight="1">
      <c r="A103" s="32">
        <v>5</v>
      </c>
      <c r="B103" s="137"/>
      <c r="C103" s="20" t="str">
        <f>IF(A103="","VARA",VLOOKUP(A103,'[1]varas'!$A$4:$B$67,2))</f>
        <v>5ª VT Recife</v>
      </c>
      <c r="D103" s="15"/>
      <c r="E103" s="16"/>
      <c r="F103" s="15">
        <f>21+13+4</f>
        <v>38</v>
      </c>
      <c r="G103" s="15">
        <v>13</v>
      </c>
      <c r="H103" s="15">
        <v>9</v>
      </c>
      <c r="I103" s="17">
        <f>SUM(F103:H103)</f>
        <v>60</v>
      </c>
      <c r="J103" s="15">
        <v>25</v>
      </c>
      <c r="K103" s="15">
        <v>1</v>
      </c>
      <c r="L103" s="15">
        <v>4</v>
      </c>
      <c r="M103" s="15">
        <v>0</v>
      </c>
      <c r="N103" s="15">
        <v>0</v>
      </c>
      <c r="O103" s="15">
        <v>13</v>
      </c>
      <c r="P103" s="15">
        <f>SUM(J103:O103)</f>
        <v>43</v>
      </c>
      <c r="Q103" s="15">
        <v>17</v>
      </c>
      <c r="R103" s="15">
        <v>0</v>
      </c>
      <c r="S103" s="15">
        <v>0</v>
      </c>
      <c r="T103" s="15">
        <v>0</v>
      </c>
      <c r="U103" s="15">
        <v>64</v>
      </c>
      <c r="V103" s="18"/>
      <c r="W103" s="18"/>
      <c r="X103" s="30"/>
      <c r="Y103" s="30"/>
      <c r="Z103" s="30"/>
      <c r="AA103" s="30"/>
      <c r="AB103" s="34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</row>
    <row r="104" spans="1:41" s="39" customFormat="1" ht="23.25" customHeight="1">
      <c r="A104" s="32">
        <v>6</v>
      </c>
      <c r="B104" s="137"/>
      <c r="C104" s="20" t="str">
        <f>IF(A104="","VARA",VLOOKUP(A104,'[1]varas'!$A$4:$B$67,2))</f>
        <v>6ª VT Recife</v>
      </c>
      <c r="D104" s="15"/>
      <c r="E104" s="16"/>
      <c r="F104" s="15">
        <v>0</v>
      </c>
      <c r="G104" s="15">
        <v>0</v>
      </c>
      <c r="H104" s="15">
        <v>5</v>
      </c>
      <c r="I104" s="17">
        <f>SUM(F104:H104)</f>
        <v>5</v>
      </c>
      <c r="J104" s="15">
        <v>5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f>SUM(J104:O104)</f>
        <v>5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8"/>
      <c r="W104" s="18"/>
      <c r="X104" s="30"/>
      <c r="Y104" s="30"/>
      <c r="Z104" s="30"/>
      <c r="AA104" s="30"/>
      <c r="AB104" s="34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1:41" s="39" customFormat="1" ht="23.25" customHeight="1">
      <c r="A105" s="32">
        <v>10</v>
      </c>
      <c r="B105" s="137"/>
      <c r="C105" s="20" t="str">
        <f>IF(A105="","VARA",VLOOKUP(A105,'[1]varas'!$A$4:$B$67,2))</f>
        <v>10ª VT Recife</v>
      </c>
      <c r="D105" s="15"/>
      <c r="E105" s="16"/>
      <c r="F105" s="15">
        <v>0</v>
      </c>
      <c r="G105" s="15">
        <v>0</v>
      </c>
      <c r="H105" s="15">
        <v>0</v>
      </c>
      <c r="I105" s="17">
        <f>SUM(F105:H105)</f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f>SUM(J105:O105)</f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1</v>
      </c>
      <c r="V105" s="18"/>
      <c r="W105" s="18"/>
      <c r="X105" s="30"/>
      <c r="Y105" s="30"/>
      <c r="Z105" s="30"/>
      <c r="AA105" s="30"/>
      <c r="AB105" s="34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</row>
    <row r="106" spans="1:41" s="39" customFormat="1" ht="21" customHeight="1">
      <c r="A106" s="32">
        <v>11</v>
      </c>
      <c r="B106" s="137"/>
      <c r="C106" s="20" t="str">
        <f>IF(A106="","VARA",VLOOKUP(A106,'[1]varas'!$A$4:$B$67,2))</f>
        <v>11ª VT Recife</v>
      </c>
      <c r="D106" s="15"/>
      <c r="E106" s="16"/>
      <c r="F106" s="15">
        <v>3</v>
      </c>
      <c r="G106" s="15">
        <v>0</v>
      </c>
      <c r="H106" s="15">
        <v>0</v>
      </c>
      <c r="I106" s="17">
        <f>SUM(F106:H106)</f>
        <v>3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2</v>
      </c>
      <c r="P106" s="15">
        <f>SUM(J106:O106)</f>
        <v>2</v>
      </c>
      <c r="Q106" s="15">
        <v>1</v>
      </c>
      <c r="R106" s="15">
        <v>0</v>
      </c>
      <c r="S106" s="15">
        <v>0</v>
      </c>
      <c r="T106" s="15">
        <v>0</v>
      </c>
      <c r="U106" s="15">
        <v>0</v>
      </c>
      <c r="V106" s="18"/>
      <c r="W106" s="18"/>
      <c r="X106" s="30"/>
      <c r="Y106" s="30"/>
      <c r="Z106" s="30"/>
      <c r="AA106" s="30"/>
      <c r="AB106" s="34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</row>
    <row r="107" spans="1:41" s="39" customFormat="1" ht="18" customHeight="1">
      <c r="A107" s="32"/>
      <c r="B107" s="137"/>
      <c r="C107" s="21" t="s">
        <v>12</v>
      </c>
      <c r="D107" s="33"/>
      <c r="E107" s="23"/>
      <c r="F107" s="24">
        <f>SUM(F102:F106)</f>
        <v>41</v>
      </c>
      <c r="G107" s="24">
        <f>SUM(G102:G106)</f>
        <v>13</v>
      </c>
      <c r="H107" s="24">
        <f>SUM(H102:H106)</f>
        <v>14</v>
      </c>
      <c r="I107" s="40">
        <f>SUM(F107:H107)</f>
        <v>68</v>
      </c>
      <c r="J107" s="24">
        <f aca="true" t="shared" si="30" ref="J107:O107">SUM(J102:J106)</f>
        <v>30</v>
      </c>
      <c r="K107" s="24">
        <f t="shared" si="30"/>
        <v>1</v>
      </c>
      <c r="L107" s="24">
        <f t="shared" si="30"/>
        <v>4</v>
      </c>
      <c r="M107" s="24">
        <f t="shared" si="30"/>
        <v>0</v>
      </c>
      <c r="N107" s="24">
        <f t="shared" si="30"/>
        <v>0</v>
      </c>
      <c r="O107" s="24">
        <f t="shared" si="30"/>
        <v>15</v>
      </c>
      <c r="P107" s="24">
        <f>SUM(J107:O107)</f>
        <v>50</v>
      </c>
      <c r="Q107" s="24">
        <f>SUM(Q102:Q106)</f>
        <v>18</v>
      </c>
      <c r="R107" s="24">
        <f>SUM(R102:R106)</f>
        <v>0</v>
      </c>
      <c r="S107" s="24">
        <f>SUM(S102:S106)</f>
        <v>0</v>
      </c>
      <c r="T107" s="24">
        <f>SUM(T102:T106)</f>
        <v>0</v>
      </c>
      <c r="U107" s="24">
        <f>SUM(U102:U106)</f>
        <v>65</v>
      </c>
      <c r="V107" s="26">
        <f>IF(I107-Q107=0,"",IF(D107="",(P107+S107)/(I107-Q107),IF(AND(D107&lt;&gt;"",(P107+S107)/(I107-Q107)&gt;=50%),(P107+S107)/(I107-Q107),"")))</f>
        <v>1</v>
      </c>
      <c r="W107" s="26">
        <f>IF(I107=O107,"",IF(V107="",0,(P107+Q107+S107-O107)/(I107-O107)))</f>
        <v>1</v>
      </c>
      <c r="X107" s="30"/>
      <c r="Y107" s="30"/>
      <c r="Z107" s="30"/>
      <c r="AA107" s="30"/>
      <c r="AB107" s="34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</row>
    <row r="108" spans="1:41" s="39" customFormat="1" ht="24" customHeight="1">
      <c r="A108" s="32"/>
      <c r="B108" s="137" t="s">
        <v>54</v>
      </c>
      <c r="C108" s="14" t="s">
        <v>2</v>
      </c>
      <c r="D108" s="15"/>
      <c r="E108" s="16" t="s">
        <v>27</v>
      </c>
      <c r="F108" s="15"/>
      <c r="G108" s="15"/>
      <c r="H108" s="15"/>
      <c r="I108" s="17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8"/>
      <c r="W108" s="18"/>
      <c r="X108" s="30"/>
      <c r="Y108" s="30"/>
      <c r="Z108" s="30"/>
      <c r="AA108" s="30"/>
      <c r="AB108" s="34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</row>
    <row r="109" spans="1:41" s="39" customFormat="1" ht="19.5" customHeight="1">
      <c r="A109" s="32">
        <v>57</v>
      </c>
      <c r="B109" s="137"/>
      <c r="C109" s="20" t="str">
        <f>IF(A109="","VARA",VLOOKUP(A109,'[1]varas'!$A$4:$B$67,2))</f>
        <v>VT S. Lourenço </v>
      </c>
      <c r="D109" s="15"/>
      <c r="E109" s="16"/>
      <c r="F109" s="15">
        <f>39+33+6+3</f>
        <v>81</v>
      </c>
      <c r="G109" s="15">
        <v>16</v>
      </c>
      <c r="H109" s="15">
        <v>46</v>
      </c>
      <c r="I109" s="17">
        <f>SUM(F109:H109)</f>
        <v>143</v>
      </c>
      <c r="J109" s="15">
        <v>20</v>
      </c>
      <c r="K109" s="15">
        <v>14</v>
      </c>
      <c r="L109" s="15">
        <v>0</v>
      </c>
      <c r="M109" s="15">
        <v>0</v>
      </c>
      <c r="N109" s="15">
        <v>0</v>
      </c>
      <c r="O109" s="15">
        <v>33</v>
      </c>
      <c r="P109" s="15">
        <f>SUM(J109:O109)</f>
        <v>67</v>
      </c>
      <c r="Q109" s="15">
        <v>11</v>
      </c>
      <c r="R109" s="15">
        <v>65</v>
      </c>
      <c r="S109" s="15">
        <v>0</v>
      </c>
      <c r="T109" s="15">
        <v>0</v>
      </c>
      <c r="U109" s="15">
        <v>144</v>
      </c>
      <c r="V109" s="18"/>
      <c r="W109" s="18"/>
      <c r="X109" s="30"/>
      <c r="Y109" s="30"/>
      <c r="Z109" s="30"/>
      <c r="AA109" s="30"/>
      <c r="AB109" s="34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</row>
    <row r="110" spans="1:41" s="53" customFormat="1" ht="19.5" customHeight="1">
      <c r="A110" s="47"/>
      <c r="B110" s="137"/>
      <c r="C110" s="20" t="s">
        <v>12</v>
      </c>
      <c r="D110" s="24"/>
      <c r="E110" s="48"/>
      <c r="F110" s="24">
        <f>SUM(F108:F109)</f>
        <v>81</v>
      </c>
      <c r="G110" s="24">
        <f>SUM(G108:G109)</f>
        <v>16</v>
      </c>
      <c r="H110" s="24">
        <f>SUM(H108:H109)</f>
        <v>46</v>
      </c>
      <c r="I110" s="40">
        <f>SUM(F110:H110)</f>
        <v>143</v>
      </c>
      <c r="J110" s="24">
        <f aca="true" t="shared" si="31" ref="J110:O110">SUM(J108:J109)</f>
        <v>20</v>
      </c>
      <c r="K110" s="24">
        <f t="shared" si="31"/>
        <v>14</v>
      </c>
      <c r="L110" s="24">
        <f t="shared" si="31"/>
        <v>0</v>
      </c>
      <c r="M110" s="24">
        <f t="shared" si="31"/>
        <v>0</v>
      </c>
      <c r="N110" s="24">
        <f t="shared" si="31"/>
        <v>0</v>
      </c>
      <c r="O110" s="24">
        <f t="shared" si="31"/>
        <v>33</v>
      </c>
      <c r="P110" s="24">
        <f>SUM(J110:O110)</f>
        <v>67</v>
      </c>
      <c r="Q110" s="24">
        <f>SUM(Q108:Q109)</f>
        <v>11</v>
      </c>
      <c r="R110" s="24">
        <f>SUM(R108:R109)</f>
        <v>65</v>
      </c>
      <c r="S110" s="24">
        <f>SUM(S108:S109)</f>
        <v>0</v>
      </c>
      <c r="T110" s="24">
        <f>SUM(T108:T109)</f>
        <v>0</v>
      </c>
      <c r="U110" s="24">
        <f>SUM(U108:U109)</f>
        <v>144</v>
      </c>
      <c r="V110" s="26">
        <f>IF(I110-Q110=0,"",IF(D110="",(P110+S110)/(I110-Q110),IF(AND(D110&lt;&gt;"",(P110+S110)/(I110-Q110)&gt;=50%),(P110+S110)/(I110-Q110),"")))</f>
        <v>0.5075757575757576</v>
      </c>
      <c r="W110" s="26">
        <f>IF(I110=O110,"",IF(V110="",0,(P110+Q110+S110-O110)/(I110-O110)))</f>
        <v>0.4090909090909091</v>
      </c>
      <c r="X110" s="49"/>
      <c r="Y110" s="49"/>
      <c r="Z110" s="49"/>
      <c r="AA110" s="49"/>
      <c r="AB110" s="50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</row>
    <row r="111" spans="1:41" s="39" customFormat="1" ht="21.75" customHeight="1">
      <c r="A111" s="32"/>
      <c r="B111" s="137" t="s">
        <v>55</v>
      </c>
      <c r="C111" s="14" t="s">
        <v>2</v>
      </c>
      <c r="D111" s="29"/>
      <c r="E111" s="16" t="s">
        <v>27</v>
      </c>
      <c r="F111" s="15"/>
      <c r="G111" s="15"/>
      <c r="H111" s="15"/>
      <c r="I111" s="17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8"/>
      <c r="W111" s="18"/>
      <c r="X111" s="30"/>
      <c r="Y111" s="30"/>
      <c r="Z111" s="30"/>
      <c r="AA111" s="30"/>
      <c r="AB111" s="34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</row>
    <row r="112" spans="1:41" s="39" customFormat="1" ht="17.25" customHeight="1">
      <c r="A112" s="32">
        <v>23</v>
      </c>
      <c r="B112" s="137"/>
      <c r="C112" s="20" t="str">
        <f>IF(A112="","VARA",VLOOKUP(A112,'[1]varas'!$A$4:$B$67,2))</f>
        <v>23ª VT Recife</v>
      </c>
      <c r="D112" s="15"/>
      <c r="E112" s="16"/>
      <c r="F112" s="15">
        <f>29+17+2+1</f>
        <v>49</v>
      </c>
      <c r="G112" s="15">
        <v>7</v>
      </c>
      <c r="H112" s="15">
        <v>6</v>
      </c>
      <c r="I112" s="17">
        <f>SUM(F112:H112)</f>
        <v>62</v>
      </c>
      <c r="J112" s="15">
        <v>25</v>
      </c>
      <c r="K112" s="15">
        <v>7</v>
      </c>
      <c r="L112" s="15">
        <v>2</v>
      </c>
      <c r="M112" s="15">
        <v>1</v>
      </c>
      <c r="N112" s="15">
        <v>0</v>
      </c>
      <c r="O112" s="15">
        <v>17</v>
      </c>
      <c r="P112" s="15">
        <f>SUM(J112:O112)</f>
        <v>52</v>
      </c>
      <c r="Q112" s="15">
        <v>7</v>
      </c>
      <c r="R112" s="15">
        <v>3</v>
      </c>
      <c r="S112" s="15">
        <v>0</v>
      </c>
      <c r="T112" s="15">
        <v>0</v>
      </c>
      <c r="U112" s="15">
        <v>80</v>
      </c>
      <c r="V112" s="18"/>
      <c r="W112" s="18"/>
      <c r="X112" s="30"/>
      <c r="Y112" s="30"/>
      <c r="Z112" s="30"/>
      <c r="AA112" s="30"/>
      <c r="AB112" s="34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</row>
    <row r="113" spans="1:41" s="53" customFormat="1" ht="18" customHeight="1">
      <c r="A113" s="47"/>
      <c r="B113" s="131"/>
      <c r="C113" s="21" t="s">
        <v>12</v>
      </c>
      <c r="D113" s="51"/>
      <c r="E113" s="52"/>
      <c r="F113" s="24">
        <f>SUM(F111:F112)</f>
        <v>49</v>
      </c>
      <c r="G113" s="24">
        <f>SUM(G111:G112)</f>
        <v>7</v>
      </c>
      <c r="H113" s="24">
        <f>SUM(H111:H112)</f>
        <v>6</v>
      </c>
      <c r="I113" s="25">
        <f>SUM(F113:H113)</f>
        <v>62</v>
      </c>
      <c r="J113" s="24">
        <f aca="true" t="shared" si="32" ref="J113:O113">SUM(J111:J112)</f>
        <v>25</v>
      </c>
      <c r="K113" s="24">
        <f t="shared" si="32"/>
        <v>7</v>
      </c>
      <c r="L113" s="24">
        <f t="shared" si="32"/>
        <v>2</v>
      </c>
      <c r="M113" s="24">
        <f t="shared" si="32"/>
        <v>1</v>
      </c>
      <c r="N113" s="24">
        <f t="shared" si="32"/>
        <v>0</v>
      </c>
      <c r="O113" s="24">
        <f t="shared" si="32"/>
        <v>17</v>
      </c>
      <c r="P113" s="24">
        <f>SUM(J113:O113)</f>
        <v>52</v>
      </c>
      <c r="Q113" s="24">
        <f>SUM(Q111:Q112)</f>
        <v>7</v>
      </c>
      <c r="R113" s="24">
        <f>SUM(R111:R112)</f>
        <v>3</v>
      </c>
      <c r="S113" s="24">
        <f>SUM(S111:S112)</f>
        <v>0</v>
      </c>
      <c r="T113" s="24">
        <f>SUM(T111:T112)</f>
        <v>0</v>
      </c>
      <c r="U113" s="24">
        <f>SUM(U111:U112)</f>
        <v>80</v>
      </c>
      <c r="V113" s="26">
        <f>IF(I113-Q113=0,"",IF(D113="",(P113+S113)/(I113-Q113),IF(AND(D113&lt;&gt;"",(P113+S113)/(I113-Q113)&gt;=50%),(P113+S113)/(I113-Q113),"")))</f>
        <v>0.9454545454545454</v>
      </c>
      <c r="W113" s="26">
        <f>IF(I113=O113,"",IF(V113="",0,(P113+Q113+S113-O113)/(I113-O113)))</f>
        <v>0.9333333333333333</v>
      </c>
      <c r="X113" s="49"/>
      <c r="Y113" s="49"/>
      <c r="Z113" s="49"/>
      <c r="AA113" s="49"/>
      <c r="AB113" s="50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</row>
    <row r="114" spans="1:41" s="39" customFormat="1" ht="22.5" customHeight="1">
      <c r="A114" s="32"/>
      <c r="B114" s="138" t="s">
        <v>56</v>
      </c>
      <c r="C114" s="105" t="s">
        <v>154</v>
      </c>
      <c r="D114" s="15"/>
      <c r="E114" s="16" t="s">
        <v>27</v>
      </c>
      <c r="F114" s="15"/>
      <c r="G114" s="15"/>
      <c r="H114" s="15"/>
      <c r="I114" s="17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8"/>
      <c r="W114" s="18"/>
      <c r="X114" s="30"/>
      <c r="Y114" s="30"/>
      <c r="Z114" s="30"/>
      <c r="AA114" s="30"/>
      <c r="AB114" s="34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</row>
    <row r="115" spans="1:41" s="39" customFormat="1" ht="18" customHeight="1">
      <c r="A115" s="32">
        <v>3</v>
      </c>
      <c r="B115" s="139"/>
      <c r="C115" s="106" t="str">
        <f>IF(A115="","VARA",VLOOKUP(A115,'[1]varas'!$A$4:$B$67,2))</f>
        <v>3ª VT Recife</v>
      </c>
      <c r="D115" s="15"/>
      <c r="E115" s="16"/>
      <c r="F115" s="15">
        <f>23+14+6</f>
        <v>43</v>
      </c>
      <c r="G115" s="15">
        <v>31</v>
      </c>
      <c r="H115" s="15">
        <v>88</v>
      </c>
      <c r="I115" s="17">
        <f>SUM(F115:H115)</f>
        <v>162</v>
      </c>
      <c r="J115" s="15">
        <v>22</v>
      </c>
      <c r="K115" s="15">
        <v>0</v>
      </c>
      <c r="L115" s="15">
        <v>3</v>
      </c>
      <c r="M115" s="15">
        <v>21</v>
      </c>
      <c r="N115" s="15">
        <v>0</v>
      </c>
      <c r="O115" s="15">
        <v>14</v>
      </c>
      <c r="P115" s="15">
        <f>SUM(J115:O115)</f>
        <v>60</v>
      </c>
      <c r="Q115" s="15">
        <v>15</v>
      </c>
      <c r="R115" s="15">
        <v>85</v>
      </c>
      <c r="S115" s="15">
        <v>1</v>
      </c>
      <c r="T115" s="15">
        <v>1</v>
      </c>
      <c r="U115" s="15">
        <v>71</v>
      </c>
      <c r="V115" s="18"/>
      <c r="W115" s="18"/>
      <c r="X115" s="30"/>
      <c r="Y115" s="30"/>
      <c r="Z115" s="30"/>
      <c r="AA115" s="30"/>
      <c r="AB115" s="34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</row>
    <row r="116" spans="1:41" s="39" customFormat="1" ht="20.25" customHeight="1">
      <c r="A116" s="32"/>
      <c r="B116" s="135"/>
      <c r="C116" s="107" t="s">
        <v>12</v>
      </c>
      <c r="D116" s="33"/>
      <c r="E116" s="23"/>
      <c r="F116" s="24">
        <f>SUM(F114:F115)</f>
        <v>43</v>
      </c>
      <c r="G116" s="24">
        <f>SUM(G114:G115)</f>
        <v>31</v>
      </c>
      <c r="H116" s="24">
        <f>SUM(H114:H115)</f>
        <v>88</v>
      </c>
      <c r="I116" s="40">
        <f>SUM(F116:H116)</f>
        <v>162</v>
      </c>
      <c r="J116" s="24">
        <f aca="true" t="shared" si="33" ref="J116:O116">SUM(J114:J115)</f>
        <v>22</v>
      </c>
      <c r="K116" s="24">
        <f t="shared" si="33"/>
        <v>0</v>
      </c>
      <c r="L116" s="24">
        <f t="shared" si="33"/>
        <v>3</v>
      </c>
      <c r="M116" s="24">
        <f t="shared" si="33"/>
        <v>21</v>
      </c>
      <c r="N116" s="24">
        <f t="shared" si="33"/>
        <v>0</v>
      </c>
      <c r="O116" s="24">
        <f t="shared" si="33"/>
        <v>14</v>
      </c>
      <c r="P116" s="24">
        <f>SUM(J116:O116)</f>
        <v>60</v>
      </c>
      <c r="Q116" s="24">
        <f>SUM(Q114:Q115)</f>
        <v>15</v>
      </c>
      <c r="R116" s="24">
        <f>SUM(R114:R115)</f>
        <v>85</v>
      </c>
      <c r="S116" s="24">
        <f>SUM(S114:S115)</f>
        <v>1</v>
      </c>
      <c r="T116" s="24">
        <f>SUM(T114:T115)</f>
        <v>1</v>
      </c>
      <c r="U116" s="24">
        <f>SUM(U114:U115)</f>
        <v>71</v>
      </c>
      <c r="V116" s="26">
        <f>IF(I116-Q116=0,"",IF(D116="",(P116+S116)/(I116-Q116),IF(AND(D116&lt;&gt;"",(P116+S116)/(I116-Q116)&gt;=50%),(P116+S116)/(I116-Q116),"")))</f>
        <v>0.41496598639455784</v>
      </c>
      <c r="W116" s="26">
        <f>IF(I116=O116,"",IF(V116="",0,(P116+Q116+S116-O116)/(I116-O116)))</f>
        <v>0.4189189189189189</v>
      </c>
      <c r="X116" s="30"/>
      <c r="Y116" s="30"/>
      <c r="Z116" s="30"/>
      <c r="AA116" s="30"/>
      <c r="AB116" s="34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</row>
    <row r="117" spans="1:41" s="39" customFormat="1" ht="21.75" customHeight="1">
      <c r="A117" s="32"/>
      <c r="B117" s="138" t="s">
        <v>57</v>
      </c>
      <c r="C117" s="105" t="s">
        <v>154</v>
      </c>
      <c r="D117" s="102"/>
      <c r="E117" s="23" t="s">
        <v>27</v>
      </c>
      <c r="F117" s="23"/>
      <c r="G117" s="23"/>
      <c r="H117" s="23"/>
      <c r="I117" s="40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6"/>
      <c r="W117" s="26"/>
      <c r="X117" s="30"/>
      <c r="Y117" s="30"/>
      <c r="Z117" s="30"/>
      <c r="AA117" s="30"/>
      <c r="AB117" s="34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</row>
    <row r="118" spans="1:41" s="39" customFormat="1" ht="21.75" customHeight="1">
      <c r="A118" s="32">
        <v>2</v>
      </c>
      <c r="B118" s="140"/>
      <c r="C118" s="106" t="str">
        <f>IF(A118="","VARA",VLOOKUP(A118,'[1]varas'!$A$4:$B$67,2))</f>
        <v>2ª VT Recife</v>
      </c>
      <c r="D118" s="15"/>
      <c r="E118" s="16"/>
      <c r="F118" s="15">
        <v>0</v>
      </c>
      <c r="G118" s="15">
        <v>1</v>
      </c>
      <c r="H118" s="15">
        <v>0</v>
      </c>
      <c r="I118" s="17">
        <f>SUM(F118:H118)</f>
        <v>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f>SUM(J118:O118)</f>
        <v>0</v>
      </c>
      <c r="Q118" s="15">
        <v>0</v>
      </c>
      <c r="R118" s="15">
        <v>1</v>
      </c>
      <c r="S118" s="15">
        <v>0</v>
      </c>
      <c r="T118" s="15">
        <v>0</v>
      </c>
      <c r="U118" s="15">
        <v>0</v>
      </c>
      <c r="V118" s="18"/>
      <c r="W118" s="18"/>
      <c r="X118" s="30"/>
      <c r="Y118" s="30"/>
      <c r="Z118" s="30"/>
      <c r="AA118" s="30"/>
      <c r="AB118" s="34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s="39" customFormat="1" ht="21.75" customHeight="1">
      <c r="A119" s="32">
        <v>16</v>
      </c>
      <c r="B119" s="140"/>
      <c r="C119" s="106" t="str">
        <f>IF(A119="","VARA",VLOOKUP(A119,'[1]varas'!$A$4:$B$67,2))</f>
        <v>16ª VT Recife</v>
      </c>
      <c r="D119" s="15"/>
      <c r="E119" s="16"/>
      <c r="F119" s="15">
        <v>0</v>
      </c>
      <c r="G119" s="15">
        <v>3</v>
      </c>
      <c r="H119" s="15">
        <v>3</v>
      </c>
      <c r="I119" s="17">
        <f>SUM(F119:H119)</f>
        <v>6</v>
      </c>
      <c r="J119" s="15">
        <v>3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f>SUM(J119:O119)</f>
        <v>3</v>
      </c>
      <c r="Q119" s="15">
        <v>0</v>
      </c>
      <c r="R119" s="15">
        <v>3</v>
      </c>
      <c r="S119" s="15">
        <v>0</v>
      </c>
      <c r="T119" s="15">
        <v>0</v>
      </c>
      <c r="U119" s="15">
        <v>1</v>
      </c>
      <c r="V119" s="18"/>
      <c r="W119" s="18"/>
      <c r="X119" s="30"/>
      <c r="Y119" s="30"/>
      <c r="Z119" s="30"/>
      <c r="AA119" s="30"/>
      <c r="AB119" s="34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</row>
    <row r="120" spans="1:41" s="39" customFormat="1" ht="21.75" customHeight="1">
      <c r="A120" s="32">
        <v>17</v>
      </c>
      <c r="B120" s="140"/>
      <c r="C120" s="106" t="str">
        <f>IF(A120="","VARA",VLOOKUP(A120,'[1]varas'!$A$4:$B$67,2))</f>
        <v>17ª VT Recife</v>
      </c>
      <c r="D120" s="15"/>
      <c r="E120" s="16"/>
      <c r="F120" s="15">
        <v>10</v>
      </c>
      <c r="G120" s="15">
        <v>0</v>
      </c>
      <c r="H120" s="15">
        <v>0</v>
      </c>
      <c r="I120" s="17">
        <f>SUM(F120:H120)</f>
        <v>10</v>
      </c>
      <c r="J120" s="15">
        <v>0</v>
      </c>
      <c r="K120" s="15">
        <v>2</v>
      </c>
      <c r="L120" s="15">
        <v>0</v>
      </c>
      <c r="M120" s="15">
        <v>0</v>
      </c>
      <c r="N120" s="15">
        <v>0</v>
      </c>
      <c r="O120" s="15">
        <v>2</v>
      </c>
      <c r="P120" s="15">
        <f>SUM(J120:O120)</f>
        <v>4</v>
      </c>
      <c r="Q120" s="15">
        <v>0</v>
      </c>
      <c r="R120" s="15">
        <v>6</v>
      </c>
      <c r="S120" s="15">
        <v>0</v>
      </c>
      <c r="T120" s="15">
        <v>0</v>
      </c>
      <c r="U120" s="15">
        <v>11</v>
      </c>
      <c r="V120" s="18"/>
      <c r="W120" s="18"/>
      <c r="X120" s="30"/>
      <c r="Y120" s="30"/>
      <c r="Z120" s="30"/>
      <c r="AA120" s="30"/>
      <c r="AB120" s="34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</row>
    <row r="121" spans="1:41" s="39" customFormat="1" ht="21.75" customHeight="1">
      <c r="A121" s="32">
        <v>52</v>
      </c>
      <c r="B121" s="140"/>
      <c r="C121" s="106" t="str">
        <f>IF(A121="","VARA",VLOOKUP(A121,'[1]varas'!$A$4:$B$67,2))</f>
        <v>VT Limoeiro</v>
      </c>
      <c r="D121" s="15"/>
      <c r="E121" s="16"/>
      <c r="F121" s="15">
        <f>9+14</f>
        <v>23</v>
      </c>
      <c r="G121" s="15">
        <v>0</v>
      </c>
      <c r="H121" s="15">
        <v>0</v>
      </c>
      <c r="I121" s="17">
        <f>SUM(F121:H121)</f>
        <v>23</v>
      </c>
      <c r="J121" s="15">
        <v>3</v>
      </c>
      <c r="K121" s="15">
        <v>4</v>
      </c>
      <c r="L121" s="15">
        <v>1</v>
      </c>
      <c r="M121" s="15">
        <v>0</v>
      </c>
      <c r="N121" s="15">
        <v>0</v>
      </c>
      <c r="O121" s="15">
        <v>13</v>
      </c>
      <c r="P121" s="15">
        <f>SUM(J121:O121)</f>
        <v>21</v>
      </c>
      <c r="Q121" s="15">
        <v>0</v>
      </c>
      <c r="R121" s="15">
        <v>2</v>
      </c>
      <c r="S121" s="15">
        <v>0</v>
      </c>
      <c r="T121" s="15">
        <v>0</v>
      </c>
      <c r="U121" s="15">
        <v>43</v>
      </c>
      <c r="V121" s="18"/>
      <c r="W121" s="18"/>
      <c r="X121" s="30"/>
      <c r="Y121" s="30"/>
      <c r="Z121" s="30"/>
      <c r="AA121" s="30"/>
      <c r="AB121" s="34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</row>
    <row r="122" spans="1:41" s="39" customFormat="1" ht="21" customHeight="1">
      <c r="A122" s="32">
        <v>54</v>
      </c>
      <c r="B122" s="139"/>
      <c r="C122" s="106" t="str">
        <f>IF(A122="","VARA",VLOOKUP(A122,'[1]varas'!$A$4:$B$67,2))</f>
        <v>1ª VT Palmares</v>
      </c>
      <c r="D122" s="15"/>
      <c r="E122" s="16"/>
      <c r="F122" s="15">
        <v>0</v>
      </c>
      <c r="G122" s="15">
        <v>0</v>
      </c>
      <c r="H122" s="15">
        <v>2</v>
      </c>
      <c r="I122" s="17">
        <f aca="true" t="shared" si="34" ref="I122:I128">SUM(F122:H122)</f>
        <v>2</v>
      </c>
      <c r="J122" s="15">
        <v>2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f aca="true" t="shared" si="35" ref="P122:P128">SUM(J122:O122)</f>
        <v>2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8"/>
      <c r="W122" s="18"/>
      <c r="X122" s="30"/>
      <c r="Y122" s="30"/>
      <c r="Z122" s="30"/>
      <c r="AA122" s="30"/>
      <c r="AB122" s="34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</row>
    <row r="123" spans="1:41" s="39" customFormat="1" ht="21" customHeight="1">
      <c r="A123" s="32">
        <v>69</v>
      </c>
      <c r="B123" s="139"/>
      <c r="C123" s="106" t="s">
        <v>173</v>
      </c>
      <c r="D123" s="15"/>
      <c r="E123" s="16"/>
      <c r="F123" s="15">
        <v>0</v>
      </c>
      <c r="G123" s="15">
        <v>0</v>
      </c>
      <c r="H123" s="15">
        <v>5</v>
      </c>
      <c r="I123" s="17">
        <f t="shared" si="34"/>
        <v>5</v>
      </c>
      <c r="J123" s="15">
        <v>5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f t="shared" si="35"/>
        <v>5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8"/>
      <c r="W123" s="18"/>
      <c r="X123" s="30"/>
      <c r="Y123" s="30"/>
      <c r="Z123" s="30"/>
      <c r="AA123" s="30"/>
      <c r="AB123" s="34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</row>
    <row r="124" spans="1:41" s="39" customFormat="1" ht="21" customHeight="1">
      <c r="A124" s="32">
        <v>41</v>
      </c>
      <c r="B124" s="139"/>
      <c r="C124" s="106" t="str">
        <f>IF(A124="","VARA",VLOOKUP(A124,'[1]varas'!$A$4:$B$67,2))</f>
        <v>1ª VT Paulista</v>
      </c>
      <c r="D124" s="15"/>
      <c r="E124" s="16"/>
      <c r="F124" s="15">
        <v>0</v>
      </c>
      <c r="G124" s="15">
        <v>9</v>
      </c>
      <c r="H124" s="15">
        <v>0</v>
      </c>
      <c r="I124" s="17">
        <f t="shared" si="34"/>
        <v>9</v>
      </c>
      <c r="J124" s="15">
        <v>1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f t="shared" si="35"/>
        <v>1</v>
      </c>
      <c r="Q124" s="15">
        <v>0</v>
      </c>
      <c r="R124" s="15">
        <v>8</v>
      </c>
      <c r="S124" s="15">
        <v>0</v>
      </c>
      <c r="T124" s="15">
        <v>0</v>
      </c>
      <c r="U124" s="15">
        <v>0</v>
      </c>
      <c r="V124" s="18"/>
      <c r="W124" s="18"/>
      <c r="X124" s="30"/>
      <c r="Y124" s="30"/>
      <c r="Z124" s="30"/>
      <c r="AA124" s="30"/>
      <c r="AB124" s="34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</row>
    <row r="125" spans="1:41" s="39" customFormat="1" ht="21" customHeight="1">
      <c r="A125" s="32">
        <v>42</v>
      </c>
      <c r="B125" s="139"/>
      <c r="C125" s="106" t="str">
        <f>IF(A125="","VARA",VLOOKUP(A125,'[1]varas'!$A$4:$B$67,2))</f>
        <v>2ª VT Paulista</v>
      </c>
      <c r="D125" s="15"/>
      <c r="E125" s="16"/>
      <c r="F125" s="15">
        <v>0</v>
      </c>
      <c r="G125" s="15">
        <v>0</v>
      </c>
      <c r="H125" s="15">
        <v>16</v>
      </c>
      <c r="I125" s="17">
        <f>SUM(F125:H125)</f>
        <v>16</v>
      </c>
      <c r="J125" s="15">
        <v>13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f>SUM(J125:O125)</f>
        <v>13</v>
      </c>
      <c r="Q125" s="15">
        <v>0</v>
      </c>
      <c r="R125" s="15">
        <v>3</v>
      </c>
      <c r="S125" s="15">
        <v>0</v>
      </c>
      <c r="T125" s="15">
        <v>0</v>
      </c>
      <c r="U125" s="15">
        <v>0</v>
      </c>
      <c r="V125" s="18"/>
      <c r="W125" s="18"/>
      <c r="X125" s="30"/>
      <c r="Y125" s="30"/>
      <c r="Z125" s="30"/>
      <c r="AA125" s="30"/>
      <c r="AB125" s="34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</row>
    <row r="126" spans="1:41" s="39" customFormat="1" ht="21" customHeight="1">
      <c r="A126" s="32">
        <v>55</v>
      </c>
      <c r="B126" s="139"/>
      <c r="C126" s="106" t="str">
        <f>IF(A126="","VARA",VLOOKUP(A126,'[1]varas'!$A$4:$B$67,2))</f>
        <v>VT Pesqueira</v>
      </c>
      <c r="D126" s="15"/>
      <c r="E126" s="16"/>
      <c r="F126" s="15">
        <f>17+18</f>
        <v>35</v>
      </c>
      <c r="G126" s="15">
        <v>0</v>
      </c>
      <c r="H126" s="15">
        <v>0</v>
      </c>
      <c r="I126" s="17">
        <f t="shared" si="34"/>
        <v>35</v>
      </c>
      <c r="J126" s="15">
        <v>0</v>
      </c>
      <c r="K126" s="15">
        <v>5</v>
      </c>
      <c r="L126" s="15">
        <v>0</v>
      </c>
      <c r="M126" s="15">
        <v>0</v>
      </c>
      <c r="N126" s="15">
        <v>0</v>
      </c>
      <c r="O126" s="15">
        <v>18</v>
      </c>
      <c r="P126" s="15">
        <f t="shared" si="35"/>
        <v>23</v>
      </c>
      <c r="Q126" s="15">
        <v>12</v>
      </c>
      <c r="R126" s="15">
        <v>0</v>
      </c>
      <c r="S126" s="15">
        <v>0</v>
      </c>
      <c r="T126" s="15">
        <v>0</v>
      </c>
      <c r="U126" s="15">
        <v>54</v>
      </c>
      <c r="V126" s="18"/>
      <c r="W126" s="18"/>
      <c r="X126" s="30"/>
      <c r="Y126" s="30"/>
      <c r="Z126" s="30"/>
      <c r="AA126" s="30"/>
      <c r="AB126" s="34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</row>
    <row r="127" spans="1:41" s="39" customFormat="1" ht="18.75" customHeight="1">
      <c r="A127" s="32">
        <v>64</v>
      </c>
      <c r="B127" s="139"/>
      <c r="C127" s="106" t="str">
        <f>IF(A127="","VARA",VLOOKUP(A127,'[1]varas'!$A$4:$B$67,2))</f>
        <v>PAJT Surubim</v>
      </c>
      <c r="D127" s="15"/>
      <c r="E127" s="16"/>
      <c r="F127" s="15">
        <v>0</v>
      </c>
      <c r="G127" s="15">
        <v>0</v>
      </c>
      <c r="H127" s="15">
        <v>0</v>
      </c>
      <c r="I127" s="17">
        <f t="shared" si="34"/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f t="shared" si="35"/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8"/>
      <c r="W127" s="18"/>
      <c r="X127" s="30"/>
      <c r="Y127" s="30"/>
      <c r="Z127" s="30"/>
      <c r="AA127" s="30"/>
      <c r="AB127" s="34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</row>
    <row r="128" spans="1:41" s="39" customFormat="1" ht="25.5" customHeight="1">
      <c r="A128" s="32"/>
      <c r="B128" s="135"/>
      <c r="C128" s="107" t="s">
        <v>12</v>
      </c>
      <c r="D128" s="33"/>
      <c r="E128" s="23"/>
      <c r="F128" s="24">
        <f>SUM(F117:F127)</f>
        <v>68</v>
      </c>
      <c r="G128" s="24">
        <f>SUM(G117:G127)</f>
        <v>13</v>
      </c>
      <c r="H128" s="24">
        <f>SUM(H117:H127)</f>
        <v>26</v>
      </c>
      <c r="I128" s="25">
        <f t="shared" si="34"/>
        <v>107</v>
      </c>
      <c r="J128" s="24">
        <f aca="true" t="shared" si="36" ref="J128:O128">SUM(J117:J127)</f>
        <v>27</v>
      </c>
      <c r="K128" s="24">
        <f t="shared" si="36"/>
        <v>11</v>
      </c>
      <c r="L128" s="24">
        <f t="shared" si="36"/>
        <v>1</v>
      </c>
      <c r="M128" s="24">
        <f t="shared" si="36"/>
        <v>0</v>
      </c>
      <c r="N128" s="24">
        <f t="shared" si="36"/>
        <v>0</v>
      </c>
      <c r="O128" s="24">
        <f t="shared" si="36"/>
        <v>33</v>
      </c>
      <c r="P128" s="24">
        <f t="shared" si="35"/>
        <v>72</v>
      </c>
      <c r="Q128" s="24">
        <f>SUM(Q117:Q127)</f>
        <v>12</v>
      </c>
      <c r="R128" s="24">
        <f>SUM(R117:R127)</f>
        <v>23</v>
      </c>
      <c r="S128" s="24">
        <f>SUM(S117:S127)</f>
        <v>0</v>
      </c>
      <c r="T128" s="24">
        <f>SUM(T117:T127)</f>
        <v>0</v>
      </c>
      <c r="U128" s="24">
        <f>SUM(U117:U127)</f>
        <v>109</v>
      </c>
      <c r="V128" s="26">
        <f>IF(I128-Q128=0,"",IF(D128="",(P128+S128)/(I128-Q128),IF(AND(D128&lt;&gt;"",(P128+S128)/(I128-Q128)&gt;=50%),(P128+S128)/(I128-Q128),"")))</f>
        <v>0.7578947368421053</v>
      </c>
      <c r="W128" s="26">
        <f>IF(I128=O128,"",IF(V128="",0,(P128+Q128+S128-O128)/(I128-O128)))</f>
        <v>0.6891891891891891</v>
      </c>
      <c r="X128" s="30"/>
      <c r="Y128" s="30"/>
      <c r="Z128" s="30"/>
      <c r="AA128" s="30"/>
      <c r="AB128" s="34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</row>
    <row r="129" spans="1:41" s="39" customFormat="1" ht="27" customHeight="1">
      <c r="A129" s="32"/>
      <c r="B129" s="141" t="s">
        <v>188</v>
      </c>
      <c r="C129" s="89" t="s">
        <v>156</v>
      </c>
      <c r="D129" s="90"/>
      <c r="E129" s="91" t="s">
        <v>27</v>
      </c>
      <c r="F129" s="92"/>
      <c r="G129" s="92"/>
      <c r="H129" s="92"/>
      <c r="I129" s="93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4"/>
      <c r="W129" s="94"/>
      <c r="X129" s="30"/>
      <c r="Y129" s="30"/>
      <c r="Z129" s="30"/>
      <c r="AA129" s="30"/>
      <c r="AB129" s="34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</row>
    <row r="130" spans="1:41" s="39" customFormat="1" ht="27" customHeight="1">
      <c r="A130" s="32">
        <v>10</v>
      </c>
      <c r="B130" s="141"/>
      <c r="C130" s="115" t="str">
        <f>IF(A130="","VARA",VLOOKUP(A130,'[1]varas'!$A$4:$B$67,2))</f>
        <v>10ª VT Recife</v>
      </c>
      <c r="D130" s="90"/>
      <c r="E130" s="91"/>
      <c r="F130" s="92">
        <v>1</v>
      </c>
      <c r="G130" s="92">
        <v>0</v>
      </c>
      <c r="H130" s="92">
        <v>0</v>
      </c>
      <c r="I130" s="93">
        <f>SUM(F130:H130)</f>
        <v>1</v>
      </c>
      <c r="J130" s="92">
        <v>0</v>
      </c>
      <c r="K130" s="92">
        <v>0</v>
      </c>
      <c r="L130" s="92">
        <v>0</v>
      </c>
      <c r="M130" s="92">
        <v>0</v>
      </c>
      <c r="N130" s="92">
        <v>0</v>
      </c>
      <c r="O130" s="92">
        <v>1</v>
      </c>
      <c r="P130" s="92">
        <f>SUM(J130:O130)</f>
        <v>1</v>
      </c>
      <c r="Q130" s="92">
        <v>0</v>
      </c>
      <c r="R130" s="92">
        <v>0</v>
      </c>
      <c r="S130" s="92">
        <v>0</v>
      </c>
      <c r="T130" s="92">
        <v>0</v>
      </c>
      <c r="U130" s="92">
        <v>1</v>
      </c>
      <c r="V130" s="94"/>
      <c r="W130" s="94"/>
      <c r="X130" s="30"/>
      <c r="Y130" s="30"/>
      <c r="Z130" s="30"/>
      <c r="AA130" s="30"/>
      <c r="AB130" s="34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</row>
    <row r="131" spans="1:41" s="39" customFormat="1" ht="27" customHeight="1">
      <c r="A131" s="32">
        <v>11</v>
      </c>
      <c r="B131" s="141"/>
      <c r="C131" s="115" t="str">
        <f>IF(A131="","VARA",VLOOKUP(A131,'[1]varas'!$A$4:$B$67,2))</f>
        <v>11ª VT Recife</v>
      </c>
      <c r="D131" s="90"/>
      <c r="E131" s="91"/>
      <c r="F131" s="92">
        <f>26+24+11+8</f>
        <v>69</v>
      </c>
      <c r="G131" s="92">
        <v>21</v>
      </c>
      <c r="H131" s="92">
        <v>1</v>
      </c>
      <c r="I131" s="93">
        <f>SUM(F131:H131)</f>
        <v>91</v>
      </c>
      <c r="J131" s="92">
        <v>16</v>
      </c>
      <c r="K131" s="92">
        <v>13</v>
      </c>
      <c r="L131" s="92">
        <v>11</v>
      </c>
      <c r="M131" s="92">
        <v>9</v>
      </c>
      <c r="N131" s="92">
        <v>0</v>
      </c>
      <c r="O131" s="92">
        <v>24</v>
      </c>
      <c r="P131" s="92">
        <f>SUM(J131:O131)</f>
        <v>73</v>
      </c>
      <c r="Q131" s="92">
        <v>12</v>
      </c>
      <c r="R131" s="92">
        <v>4</v>
      </c>
      <c r="S131" s="92">
        <v>0</v>
      </c>
      <c r="T131" s="92">
        <v>2</v>
      </c>
      <c r="U131" s="92">
        <v>108</v>
      </c>
      <c r="V131" s="94"/>
      <c r="W131" s="94"/>
      <c r="X131" s="30"/>
      <c r="Y131" s="30"/>
      <c r="Z131" s="30"/>
      <c r="AA131" s="30"/>
      <c r="AB131" s="34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</row>
    <row r="132" spans="1:41" s="39" customFormat="1" ht="20.25" customHeight="1">
      <c r="A132" s="32"/>
      <c r="B132" s="141"/>
      <c r="C132" s="96" t="s">
        <v>12</v>
      </c>
      <c r="D132" s="97"/>
      <c r="E132" s="98"/>
      <c r="F132" s="99">
        <f>SUM(F129:F131)</f>
        <v>70</v>
      </c>
      <c r="G132" s="99">
        <f>SUM(G129:G131)</f>
        <v>21</v>
      </c>
      <c r="H132" s="99">
        <f>SUM(H129:H131)</f>
        <v>1</v>
      </c>
      <c r="I132" s="100">
        <f>SUM(F132:H132)</f>
        <v>92</v>
      </c>
      <c r="J132" s="99">
        <f aca="true" t="shared" si="37" ref="J132:O132">SUM(J129:J131)</f>
        <v>16</v>
      </c>
      <c r="K132" s="99">
        <f t="shared" si="37"/>
        <v>13</v>
      </c>
      <c r="L132" s="99">
        <f t="shared" si="37"/>
        <v>11</v>
      </c>
      <c r="M132" s="99">
        <f t="shared" si="37"/>
        <v>9</v>
      </c>
      <c r="N132" s="99">
        <f t="shared" si="37"/>
        <v>0</v>
      </c>
      <c r="O132" s="99">
        <f t="shared" si="37"/>
        <v>25</v>
      </c>
      <c r="P132" s="99">
        <f>SUM(J132:O132)</f>
        <v>74</v>
      </c>
      <c r="Q132" s="99">
        <f>SUM(Q129:Q131)</f>
        <v>12</v>
      </c>
      <c r="R132" s="99">
        <f>SUM(R129:R131)</f>
        <v>4</v>
      </c>
      <c r="S132" s="99">
        <f>SUM(S129:S131)</f>
        <v>0</v>
      </c>
      <c r="T132" s="99">
        <f>SUM(T129:T131)</f>
        <v>2</v>
      </c>
      <c r="U132" s="99">
        <f>SUM(U129:U131)</f>
        <v>109</v>
      </c>
      <c r="V132" s="101">
        <f>IF(I132-Q132=0,"",IF(D132="",(P132+S132)/(I132-Q132),IF(AND(D132&lt;&gt;"",(P132+S132)/(I132-Q132)&gt;=50%),(P132+S132)/(I132-Q132),"")))</f>
        <v>0.925</v>
      </c>
      <c r="W132" s="101">
        <f>IF(I132=O132,"",IF(V132="",0,(P132+Q132+S132-O132)/(I132-O132)))</f>
        <v>0.9104477611940298</v>
      </c>
      <c r="X132" s="30"/>
      <c r="Y132" s="30"/>
      <c r="Z132" s="30"/>
      <c r="AA132" s="30"/>
      <c r="AB132" s="34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s="39" customFormat="1" ht="25.5" customHeight="1">
      <c r="A133" s="32"/>
      <c r="B133" s="141" t="s">
        <v>155</v>
      </c>
      <c r="C133" s="89" t="s">
        <v>156</v>
      </c>
      <c r="D133" s="90"/>
      <c r="E133" s="91" t="s">
        <v>27</v>
      </c>
      <c r="F133" s="92"/>
      <c r="G133" s="92"/>
      <c r="H133" s="92"/>
      <c r="I133" s="93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4"/>
      <c r="W133" s="94"/>
      <c r="X133" s="30"/>
      <c r="Y133" s="30"/>
      <c r="Z133" s="30"/>
      <c r="AA133" s="30"/>
      <c r="AB133" s="34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</row>
    <row r="134" spans="1:41" s="39" customFormat="1" ht="20.25" customHeight="1">
      <c r="A134" s="32">
        <v>50</v>
      </c>
      <c r="B134" s="141"/>
      <c r="C134" s="95" t="str">
        <f>IF(A134="","VARA",VLOOKUP(A134,'[1]varas'!$A$4:$B$67,2))</f>
        <v>VT Garanhuns</v>
      </c>
      <c r="D134" s="90"/>
      <c r="E134" s="91"/>
      <c r="F134" s="92">
        <v>8</v>
      </c>
      <c r="G134" s="92">
        <v>0</v>
      </c>
      <c r="H134" s="92">
        <v>0</v>
      </c>
      <c r="I134" s="93">
        <f>SUM(F134:H134)</f>
        <v>8</v>
      </c>
      <c r="J134" s="92">
        <v>7</v>
      </c>
      <c r="K134" s="92">
        <v>0</v>
      </c>
      <c r="L134" s="92">
        <v>0</v>
      </c>
      <c r="M134" s="92">
        <v>0</v>
      </c>
      <c r="N134" s="92">
        <v>0</v>
      </c>
      <c r="O134" s="92">
        <v>0</v>
      </c>
      <c r="P134" s="92">
        <f>SUM(J134:O134)</f>
        <v>7</v>
      </c>
      <c r="Q134" s="92">
        <v>0</v>
      </c>
      <c r="R134" s="92">
        <v>0</v>
      </c>
      <c r="S134" s="92">
        <v>0</v>
      </c>
      <c r="T134" s="92">
        <v>1</v>
      </c>
      <c r="U134" s="92">
        <v>0</v>
      </c>
      <c r="V134" s="94"/>
      <c r="W134" s="94"/>
      <c r="X134" s="30"/>
      <c r="Y134" s="30"/>
      <c r="Z134" s="30"/>
      <c r="AA134" s="30"/>
      <c r="AB134" s="34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</row>
    <row r="135" spans="1:41" s="39" customFormat="1" ht="20.25" customHeight="1">
      <c r="A135" s="32">
        <v>47</v>
      </c>
      <c r="B135" s="141"/>
      <c r="C135" s="95" t="str">
        <f>IF(A135="","VARA",VLOOKUP(A135,'[1]varas'!$A$4:$B$67,2))</f>
        <v>VT Carpina</v>
      </c>
      <c r="D135" s="90"/>
      <c r="E135" s="91"/>
      <c r="F135" s="92">
        <f>90+95+10</f>
        <v>195</v>
      </c>
      <c r="G135" s="92">
        <v>0</v>
      </c>
      <c r="H135" s="92">
        <v>0</v>
      </c>
      <c r="I135" s="93">
        <f>SUM(F135:H135)</f>
        <v>195</v>
      </c>
      <c r="J135" s="92">
        <v>61</v>
      </c>
      <c r="K135" s="92">
        <v>26</v>
      </c>
      <c r="L135" s="92">
        <v>10</v>
      </c>
      <c r="M135" s="92">
        <v>0</v>
      </c>
      <c r="N135" s="92">
        <v>0</v>
      </c>
      <c r="O135" s="92">
        <v>95</v>
      </c>
      <c r="P135" s="92">
        <f>SUM(J135:O135)</f>
        <v>192</v>
      </c>
      <c r="Q135" s="92">
        <v>3</v>
      </c>
      <c r="R135" s="92">
        <v>0</v>
      </c>
      <c r="S135" s="92">
        <v>0</v>
      </c>
      <c r="T135" s="92">
        <v>0</v>
      </c>
      <c r="U135" s="92">
        <v>203</v>
      </c>
      <c r="V135" s="94"/>
      <c r="W135" s="94"/>
      <c r="X135" s="30"/>
      <c r="Y135" s="30"/>
      <c r="Z135" s="30"/>
      <c r="AA135" s="30"/>
      <c r="AB135" s="34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</row>
    <row r="136" spans="1:41" s="39" customFormat="1" ht="23.25" customHeight="1">
      <c r="A136" s="32"/>
      <c r="B136" s="142"/>
      <c r="C136" s="96" t="s">
        <v>12</v>
      </c>
      <c r="D136" s="97"/>
      <c r="E136" s="98"/>
      <c r="F136" s="99">
        <f>SUM(F133:F135)</f>
        <v>203</v>
      </c>
      <c r="G136" s="99">
        <f>SUM(G133:G135)</f>
        <v>0</v>
      </c>
      <c r="H136" s="99">
        <f>SUM(H133:H135)</f>
        <v>0</v>
      </c>
      <c r="I136" s="100">
        <f>SUM(F136:H136)</f>
        <v>203</v>
      </c>
      <c r="J136" s="99">
        <f aca="true" t="shared" si="38" ref="J136:O136">SUM(J133:J135)</f>
        <v>68</v>
      </c>
      <c r="K136" s="99">
        <f t="shared" si="38"/>
        <v>26</v>
      </c>
      <c r="L136" s="99">
        <f t="shared" si="38"/>
        <v>10</v>
      </c>
      <c r="M136" s="99">
        <f t="shared" si="38"/>
        <v>0</v>
      </c>
      <c r="N136" s="99">
        <f t="shared" si="38"/>
        <v>0</v>
      </c>
      <c r="O136" s="99">
        <f t="shared" si="38"/>
        <v>95</v>
      </c>
      <c r="P136" s="99">
        <f>SUM(J136:O136)</f>
        <v>199</v>
      </c>
      <c r="Q136" s="99">
        <f>SUM(Q133:Q135)</f>
        <v>3</v>
      </c>
      <c r="R136" s="99">
        <f>SUM(R133:R135)</f>
        <v>0</v>
      </c>
      <c r="S136" s="99">
        <f>SUM(S133:S135)</f>
        <v>0</v>
      </c>
      <c r="T136" s="99">
        <f>SUM(T133:T135)</f>
        <v>1</v>
      </c>
      <c r="U136" s="99">
        <f>SUM(U133:U135)</f>
        <v>203</v>
      </c>
      <c r="V136" s="101">
        <f>IF(I136-Q136=0,"",IF(D136="",(P136+S136)/(I136-Q136),IF(AND(D136&lt;&gt;"",(P136+S136)/(I136-Q136)&gt;=50%),(P136+S136)/(I136-Q136),"")))</f>
        <v>0.995</v>
      </c>
      <c r="W136" s="101">
        <f>IF(I136=O136,"",IF(V136="",0,(P136+Q136+S136-O136)/(I136-O136)))</f>
        <v>0.9907407407407407</v>
      </c>
      <c r="X136" s="30"/>
      <c r="Y136" s="30"/>
      <c r="Z136" s="30"/>
      <c r="AA136" s="30"/>
      <c r="AB136" s="34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</row>
    <row r="137" spans="1:41" s="39" customFormat="1" ht="24.75" customHeight="1">
      <c r="A137" s="32"/>
      <c r="B137" s="138" t="s">
        <v>58</v>
      </c>
      <c r="C137" s="105" t="s">
        <v>2</v>
      </c>
      <c r="D137" s="29" t="s">
        <v>30</v>
      </c>
      <c r="E137" s="16" t="s">
        <v>197</v>
      </c>
      <c r="F137" s="15"/>
      <c r="G137" s="15"/>
      <c r="H137" s="15"/>
      <c r="I137" s="17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8"/>
      <c r="W137" s="18"/>
      <c r="X137" s="30"/>
      <c r="Y137" s="30"/>
      <c r="Z137" s="30"/>
      <c r="AA137" s="30"/>
      <c r="AB137" s="34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</row>
    <row r="138" spans="1:41" s="39" customFormat="1" ht="22.5" customHeight="1">
      <c r="A138" s="32">
        <v>22</v>
      </c>
      <c r="B138" s="139"/>
      <c r="C138" s="106" t="str">
        <f>IF(A138="","VARA",VLOOKUP(A138,'[1]varas'!$A$4:$B$67,2))</f>
        <v>22ª VT Recife</v>
      </c>
      <c r="D138" s="15"/>
      <c r="E138" s="16"/>
      <c r="F138" s="15">
        <v>3</v>
      </c>
      <c r="G138" s="15">
        <v>12</v>
      </c>
      <c r="H138" s="15">
        <v>19</v>
      </c>
      <c r="I138" s="17">
        <f>SUM(F138:H138)</f>
        <v>34</v>
      </c>
      <c r="J138" s="15">
        <v>17</v>
      </c>
      <c r="K138" s="15">
        <v>0</v>
      </c>
      <c r="L138" s="15">
        <v>1</v>
      </c>
      <c r="M138" s="15">
        <v>1</v>
      </c>
      <c r="N138" s="15">
        <v>0</v>
      </c>
      <c r="O138" s="15">
        <v>0</v>
      </c>
      <c r="P138" s="15">
        <f>SUM(J138:O138)</f>
        <v>19</v>
      </c>
      <c r="Q138" s="15">
        <v>12</v>
      </c>
      <c r="R138" s="15">
        <v>3</v>
      </c>
      <c r="S138" s="15">
        <v>0</v>
      </c>
      <c r="T138" s="15">
        <v>0</v>
      </c>
      <c r="U138" s="15">
        <v>0</v>
      </c>
      <c r="V138" s="18"/>
      <c r="W138" s="18"/>
      <c r="X138" s="30"/>
      <c r="Y138" s="30"/>
      <c r="Z138" s="30"/>
      <c r="AA138" s="30"/>
      <c r="AB138" s="34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</row>
    <row r="139" spans="1:41" s="53" customFormat="1" ht="21" customHeight="1">
      <c r="A139" s="47"/>
      <c r="B139" s="135"/>
      <c r="C139" s="107" t="s">
        <v>12</v>
      </c>
      <c r="D139" s="51"/>
      <c r="E139" s="52"/>
      <c r="F139" s="24">
        <f>SUM(F137:F138)</f>
        <v>3</v>
      </c>
      <c r="G139" s="24">
        <f>SUM(G137:G138)</f>
        <v>12</v>
      </c>
      <c r="H139" s="24">
        <f>SUM(H137:H138)</f>
        <v>19</v>
      </c>
      <c r="I139" s="25">
        <f>SUM(F139:H139)</f>
        <v>34</v>
      </c>
      <c r="J139" s="24">
        <f aca="true" t="shared" si="39" ref="J139:O139">SUM(J137:J138)</f>
        <v>17</v>
      </c>
      <c r="K139" s="24">
        <f t="shared" si="39"/>
        <v>0</v>
      </c>
      <c r="L139" s="24">
        <f t="shared" si="39"/>
        <v>1</v>
      </c>
      <c r="M139" s="24">
        <f t="shared" si="39"/>
        <v>1</v>
      </c>
      <c r="N139" s="24">
        <f t="shared" si="39"/>
        <v>0</v>
      </c>
      <c r="O139" s="24">
        <f t="shared" si="39"/>
        <v>0</v>
      </c>
      <c r="P139" s="24">
        <f>SUM(J139:O139)</f>
        <v>19</v>
      </c>
      <c r="Q139" s="24">
        <f>SUM(Q137:Q138)</f>
        <v>12</v>
      </c>
      <c r="R139" s="24">
        <f>SUM(R137:R138)</f>
        <v>3</v>
      </c>
      <c r="S139" s="24">
        <f>SUM(S137:S138)</f>
        <v>0</v>
      </c>
      <c r="T139" s="24">
        <f>SUM(T137:T138)</f>
        <v>0</v>
      </c>
      <c r="U139" s="24">
        <f>SUM(U137:U138)</f>
        <v>0</v>
      </c>
      <c r="V139" s="26">
        <f>IF(I139-Q139=0,"",IF(D139="",(P139+S139)/(I139-Q139),IF(AND(D139&lt;&gt;"",(P139+S139)/(I139-Q139)&gt;=50%),(P139+S139)/(I139-Q139),"")))</f>
        <v>0.8636363636363636</v>
      </c>
      <c r="W139" s="26">
        <f>IF(I139=O139,"",IF(V139="",0,(P139+Q139+S139-O139)/(I139-O139)))</f>
        <v>0.9117647058823529</v>
      </c>
      <c r="X139" s="49"/>
      <c r="Y139" s="49"/>
      <c r="Z139" s="49"/>
      <c r="AA139" s="49"/>
      <c r="AB139" s="50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</row>
    <row r="140" spans="1:41" s="39" customFormat="1" ht="21" customHeight="1">
      <c r="A140" s="32"/>
      <c r="B140" s="138" t="s">
        <v>59</v>
      </c>
      <c r="C140" s="105" t="s">
        <v>156</v>
      </c>
      <c r="D140" s="15"/>
      <c r="E140" s="16" t="s">
        <v>27</v>
      </c>
      <c r="F140" s="15"/>
      <c r="G140" s="15"/>
      <c r="H140" s="15"/>
      <c r="I140" s="17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8"/>
      <c r="W140" s="18"/>
      <c r="X140" s="30"/>
      <c r="Y140" s="30"/>
      <c r="Z140" s="30"/>
      <c r="AA140" s="30"/>
      <c r="AB140" s="34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</row>
    <row r="141" spans="1:41" s="39" customFormat="1" ht="21" customHeight="1">
      <c r="A141" s="32">
        <v>6</v>
      </c>
      <c r="B141" s="139"/>
      <c r="C141" s="106" t="str">
        <f>IF(A141="","VARA",VLOOKUP(A141,'[1]varas'!$A$4:$B$67,2))</f>
        <v>6ª VT Recife</v>
      </c>
      <c r="D141" s="15"/>
      <c r="E141" s="16"/>
      <c r="F141" s="15">
        <v>0</v>
      </c>
      <c r="G141" s="15">
        <v>0</v>
      </c>
      <c r="H141" s="15">
        <v>5</v>
      </c>
      <c r="I141" s="17">
        <f aca="true" t="shared" si="40" ref="I141:I148">SUM(F141:H141)</f>
        <v>5</v>
      </c>
      <c r="J141" s="15">
        <v>5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f aca="true" t="shared" si="41" ref="P141:P148">SUM(J141:O141)</f>
        <v>5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8"/>
      <c r="W141" s="18"/>
      <c r="X141" s="30"/>
      <c r="Y141" s="30"/>
      <c r="Z141" s="30"/>
      <c r="AA141" s="30"/>
      <c r="AB141" s="34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</row>
    <row r="142" spans="1:41" s="39" customFormat="1" ht="21" customHeight="1">
      <c r="A142" s="32">
        <v>22</v>
      </c>
      <c r="B142" s="139"/>
      <c r="C142" s="106" t="str">
        <f>IF(A142="","VARA",VLOOKUP(A142,'[1]varas'!$A$4:$B$67,2))</f>
        <v>22ª VT Recife</v>
      </c>
      <c r="D142" s="15"/>
      <c r="E142" s="16"/>
      <c r="F142" s="15">
        <v>0</v>
      </c>
      <c r="G142" s="15">
        <v>0</v>
      </c>
      <c r="H142" s="15">
        <v>4</v>
      </c>
      <c r="I142" s="17">
        <f t="shared" si="40"/>
        <v>4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f t="shared" si="41"/>
        <v>0</v>
      </c>
      <c r="Q142" s="15">
        <v>0</v>
      </c>
      <c r="R142" s="15">
        <v>4</v>
      </c>
      <c r="S142" s="15">
        <v>0</v>
      </c>
      <c r="T142" s="15">
        <v>0</v>
      </c>
      <c r="U142" s="15">
        <v>0</v>
      </c>
      <c r="V142" s="18"/>
      <c r="W142" s="18"/>
      <c r="X142" s="30"/>
      <c r="Y142" s="30"/>
      <c r="Z142" s="30"/>
      <c r="AA142" s="30"/>
      <c r="AB142" s="34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</row>
    <row r="143" spans="1:41" s="39" customFormat="1" ht="21" customHeight="1">
      <c r="A143" s="32">
        <v>52</v>
      </c>
      <c r="B143" s="139"/>
      <c r="C143" s="106" t="str">
        <f>IF(A143="","VARA",VLOOKUP(A143,'[1]varas'!$A$4:$B$67,2))</f>
        <v>VT Limoeiro</v>
      </c>
      <c r="D143" s="15"/>
      <c r="E143" s="16"/>
      <c r="F143" s="15">
        <v>0</v>
      </c>
      <c r="G143" s="15">
        <v>0</v>
      </c>
      <c r="H143" s="15">
        <v>2</v>
      </c>
      <c r="I143" s="17">
        <f>SUM(F143:H143)</f>
        <v>2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f>SUM(J143:O143)</f>
        <v>0</v>
      </c>
      <c r="Q143" s="15">
        <v>0</v>
      </c>
      <c r="R143" s="15">
        <v>2</v>
      </c>
      <c r="S143" s="15">
        <v>0</v>
      </c>
      <c r="T143" s="15">
        <v>0</v>
      </c>
      <c r="U143" s="15">
        <v>0</v>
      </c>
      <c r="V143" s="18"/>
      <c r="W143" s="18"/>
      <c r="X143" s="30"/>
      <c r="Y143" s="30"/>
      <c r="Z143" s="30"/>
      <c r="AA143" s="30"/>
      <c r="AB143" s="34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</row>
    <row r="144" spans="1:41" s="39" customFormat="1" ht="21" customHeight="1">
      <c r="A144" s="32">
        <v>30</v>
      </c>
      <c r="B144" s="139"/>
      <c r="C144" s="106" t="str">
        <f>IF(A144="","VARA",VLOOKUP(A144,'[1]varas'!$A$4:$B$67,2))</f>
        <v>3ª VT Caruaru</v>
      </c>
      <c r="D144" s="15"/>
      <c r="E144" s="16"/>
      <c r="F144" s="15">
        <v>1</v>
      </c>
      <c r="G144" s="15">
        <v>0</v>
      </c>
      <c r="H144" s="15">
        <v>14</v>
      </c>
      <c r="I144" s="17">
        <f t="shared" si="40"/>
        <v>15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f t="shared" si="41"/>
        <v>0</v>
      </c>
      <c r="Q144" s="15">
        <v>1</v>
      </c>
      <c r="R144" s="15">
        <v>14</v>
      </c>
      <c r="S144" s="15">
        <v>0</v>
      </c>
      <c r="T144" s="15">
        <v>0</v>
      </c>
      <c r="U144" s="15">
        <v>0</v>
      </c>
      <c r="V144" s="18"/>
      <c r="W144" s="18"/>
      <c r="X144" s="30"/>
      <c r="Y144" s="30"/>
      <c r="Z144" s="30"/>
      <c r="AA144" s="30"/>
      <c r="AB144" s="34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</row>
    <row r="145" spans="1:41" s="39" customFormat="1" ht="24" customHeight="1">
      <c r="A145" s="32">
        <v>54</v>
      </c>
      <c r="B145" s="139"/>
      <c r="C145" s="106" t="str">
        <f>IF(A145="","VARA",VLOOKUP(A145,'[1]varas'!$A$4:$B$67,2))</f>
        <v>1ª VT Palmares</v>
      </c>
      <c r="D145" s="15"/>
      <c r="E145" s="16"/>
      <c r="F145" s="15">
        <v>0</v>
      </c>
      <c r="G145" s="15">
        <v>0</v>
      </c>
      <c r="H145" s="15">
        <v>21</v>
      </c>
      <c r="I145" s="17">
        <f t="shared" si="40"/>
        <v>21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f t="shared" si="41"/>
        <v>0</v>
      </c>
      <c r="Q145" s="15">
        <v>0</v>
      </c>
      <c r="R145" s="15">
        <v>21</v>
      </c>
      <c r="S145" s="15">
        <v>0</v>
      </c>
      <c r="T145" s="15">
        <v>0</v>
      </c>
      <c r="U145" s="15">
        <v>0</v>
      </c>
      <c r="V145" s="18"/>
      <c r="W145" s="18"/>
      <c r="X145" s="30"/>
      <c r="Y145" s="30"/>
      <c r="Z145" s="30"/>
      <c r="AA145" s="30"/>
      <c r="AB145" s="34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</row>
    <row r="146" spans="1:41" s="39" customFormat="1" ht="24" customHeight="1">
      <c r="A146" s="32">
        <v>69</v>
      </c>
      <c r="B146" s="139"/>
      <c r="C146" s="106" t="s">
        <v>173</v>
      </c>
      <c r="D146" s="15"/>
      <c r="E146" s="16"/>
      <c r="F146" s="15">
        <f>55+9+6+8</f>
        <v>78</v>
      </c>
      <c r="G146" s="15">
        <v>24</v>
      </c>
      <c r="H146" s="15">
        <v>1</v>
      </c>
      <c r="I146" s="17">
        <f>SUM(F146:H146)</f>
        <v>103</v>
      </c>
      <c r="J146" s="15">
        <v>21</v>
      </c>
      <c r="K146" s="15">
        <v>14</v>
      </c>
      <c r="L146" s="15">
        <v>6</v>
      </c>
      <c r="M146" s="15">
        <v>8</v>
      </c>
      <c r="N146" s="15">
        <v>0</v>
      </c>
      <c r="O146" s="15">
        <v>9</v>
      </c>
      <c r="P146" s="15">
        <f>SUM(J146:O146)</f>
        <v>58</v>
      </c>
      <c r="Q146" s="15">
        <v>20</v>
      </c>
      <c r="R146" s="15">
        <v>25</v>
      </c>
      <c r="S146" s="15">
        <v>0</v>
      </c>
      <c r="T146" s="15">
        <v>0</v>
      </c>
      <c r="U146" s="15">
        <v>167</v>
      </c>
      <c r="V146" s="18"/>
      <c r="W146" s="18"/>
      <c r="X146" s="30"/>
      <c r="Y146" s="30"/>
      <c r="Z146" s="30"/>
      <c r="AA146" s="30"/>
      <c r="AB146" s="34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s="39" customFormat="1" ht="20.25" customHeight="1">
      <c r="A147" s="32">
        <v>55</v>
      </c>
      <c r="B147" s="139"/>
      <c r="C147" s="106" t="str">
        <f>IF(A147="","VARA",VLOOKUP(A147,'[1]varas'!$A$4:$B$67,2))</f>
        <v>VT Pesqueira</v>
      </c>
      <c r="D147" s="15"/>
      <c r="E147" s="16"/>
      <c r="F147" s="15">
        <v>1</v>
      </c>
      <c r="G147" s="15">
        <v>0</v>
      </c>
      <c r="H147" s="15">
        <v>0</v>
      </c>
      <c r="I147" s="17">
        <f>SUM(F147:H147)</f>
        <v>1</v>
      </c>
      <c r="J147" s="15">
        <v>0</v>
      </c>
      <c r="K147" s="15">
        <v>0</v>
      </c>
      <c r="L147" s="15">
        <v>0</v>
      </c>
      <c r="M147" s="15">
        <v>1</v>
      </c>
      <c r="N147" s="15">
        <v>0</v>
      </c>
      <c r="O147" s="15">
        <v>0</v>
      </c>
      <c r="P147" s="15">
        <f>SUM(J147:O147)</f>
        <v>1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8"/>
      <c r="W147" s="18"/>
      <c r="X147" s="30"/>
      <c r="Y147" s="30"/>
      <c r="Z147" s="30"/>
      <c r="AA147" s="30"/>
      <c r="AB147" s="34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s="53" customFormat="1" ht="18" customHeight="1">
      <c r="A148" s="47"/>
      <c r="B148" s="135"/>
      <c r="C148" s="106" t="s">
        <v>12</v>
      </c>
      <c r="D148" s="24"/>
      <c r="E148" s="48"/>
      <c r="F148" s="24">
        <f>SUM(F140:F147)</f>
        <v>80</v>
      </c>
      <c r="G148" s="24">
        <f>SUM(G140:G147)</f>
        <v>24</v>
      </c>
      <c r="H148" s="24">
        <f>SUM(H140:H147)</f>
        <v>47</v>
      </c>
      <c r="I148" s="40">
        <f t="shared" si="40"/>
        <v>151</v>
      </c>
      <c r="J148" s="24">
        <f aca="true" t="shared" si="42" ref="J148:O148">SUM(J140:J147)</f>
        <v>26</v>
      </c>
      <c r="K148" s="24">
        <f t="shared" si="42"/>
        <v>14</v>
      </c>
      <c r="L148" s="24">
        <f t="shared" si="42"/>
        <v>6</v>
      </c>
      <c r="M148" s="24">
        <f t="shared" si="42"/>
        <v>9</v>
      </c>
      <c r="N148" s="24">
        <f t="shared" si="42"/>
        <v>0</v>
      </c>
      <c r="O148" s="24">
        <f t="shared" si="42"/>
        <v>9</v>
      </c>
      <c r="P148" s="24">
        <f t="shared" si="41"/>
        <v>64</v>
      </c>
      <c r="Q148" s="24">
        <f>SUM(Q140:Q147)</f>
        <v>21</v>
      </c>
      <c r="R148" s="24">
        <f>SUM(R140:R147)</f>
        <v>66</v>
      </c>
      <c r="S148" s="24">
        <f>SUM(S140:S147)</f>
        <v>0</v>
      </c>
      <c r="T148" s="24">
        <f>SUM(T140:T147)</f>
        <v>0</v>
      </c>
      <c r="U148" s="24">
        <f>SUM(U140:U147)</f>
        <v>167</v>
      </c>
      <c r="V148" s="26">
        <f>IF(I148-Q148=0,"",IF(D148="",(P148+S148)/(I148-Q148),IF(AND(D148&lt;&gt;"",(P148+S148)/(I148-Q148)&gt;=50%),(P148+S148)/(I148-Q148),"")))</f>
        <v>0.49230769230769234</v>
      </c>
      <c r="W148" s="26">
        <f>IF(I148=O148,"",IF(V148="",0,(P148+Q148+S148-O148)/(I148-O148)))</f>
        <v>0.5352112676056338</v>
      </c>
      <c r="X148" s="49"/>
      <c r="Y148" s="49"/>
      <c r="Z148" s="49"/>
      <c r="AA148" s="49"/>
      <c r="AB148" s="50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</row>
    <row r="149" spans="1:41" s="39" customFormat="1" ht="22.5" customHeight="1">
      <c r="A149" s="32"/>
      <c r="B149" s="138" t="s">
        <v>60</v>
      </c>
      <c r="C149" s="105" t="s">
        <v>2</v>
      </c>
      <c r="D149" s="29" t="s">
        <v>30</v>
      </c>
      <c r="E149" s="16" t="s">
        <v>204</v>
      </c>
      <c r="F149" s="15"/>
      <c r="G149" s="15"/>
      <c r="H149" s="15"/>
      <c r="I149" s="17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8"/>
      <c r="W149" s="18"/>
      <c r="X149" s="30"/>
      <c r="Y149" s="30"/>
      <c r="Z149" s="30"/>
      <c r="AA149" s="30"/>
      <c r="AB149" s="34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</row>
    <row r="150" spans="1:41" s="39" customFormat="1" ht="22.5" customHeight="1">
      <c r="A150" s="32">
        <v>8</v>
      </c>
      <c r="B150" s="140"/>
      <c r="C150" s="106" t="str">
        <f>IF(A150="","VARA",VLOOKUP(A150,'[1]varas'!$A$4:$B$67,2))</f>
        <v>8ª VT Recife</v>
      </c>
      <c r="D150" s="15"/>
      <c r="E150" s="16"/>
      <c r="F150" s="15">
        <v>0</v>
      </c>
      <c r="G150" s="15">
        <v>0</v>
      </c>
      <c r="H150" s="15">
        <v>0</v>
      </c>
      <c r="I150" s="17">
        <f>SUM(F150:H150)</f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f>SUM(J150:O150)</f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8"/>
      <c r="W150" s="18"/>
      <c r="X150" s="30"/>
      <c r="Y150" s="30"/>
      <c r="Z150" s="30"/>
      <c r="AA150" s="30"/>
      <c r="AB150" s="34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</row>
    <row r="151" spans="1:41" s="53" customFormat="1" ht="18" customHeight="1">
      <c r="A151" s="47"/>
      <c r="B151" s="135"/>
      <c r="C151" s="106" t="s">
        <v>12</v>
      </c>
      <c r="D151" s="24"/>
      <c r="E151" s="48"/>
      <c r="F151" s="24">
        <f>SUM(F149:F150)</f>
        <v>0</v>
      </c>
      <c r="G151" s="24">
        <f>SUM(G149:G150)</f>
        <v>0</v>
      </c>
      <c r="H151" s="24">
        <f>SUM(H149:H150)</f>
        <v>0</v>
      </c>
      <c r="I151" s="40">
        <f>SUM(F151:H151)</f>
        <v>0</v>
      </c>
      <c r="J151" s="24">
        <f aca="true" t="shared" si="43" ref="J151:O151">SUM(J149:J150)</f>
        <v>0</v>
      </c>
      <c r="K151" s="24">
        <f t="shared" si="43"/>
        <v>0</v>
      </c>
      <c r="L151" s="24">
        <f t="shared" si="43"/>
        <v>0</v>
      </c>
      <c r="M151" s="24">
        <f t="shared" si="43"/>
        <v>0</v>
      </c>
      <c r="N151" s="24">
        <f t="shared" si="43"/>
        <v>0</v>
      </c>
      <c r="O151" s="24">
        <f t="shared" si="43"/>
        <v>0</v>
      </c>
      <c r="P151" s="24">
        <f>SUM(J151:O151)</f>
        <v>0</v>
      </c>
      <c r="Q151" s="24">
        <f>SUM(Q149:Q150)</f>
        <v>0</v>
      </c>
      <c r="R151" s="24">
        <f>SUM(R149:R150)</f>
        <v>0</v>
      </c>
      <c r="S151" s="24">
        <f>SUM(S149:S150)</f>
        <v>0</v>
      </c>
      <c r="T151" s="24">
        <f>SUM(T149:T150)</f>
        <v>0</v>
      </c>
      <c r="U151" s="24">
        <f>SUM(U149:U150)</f>
        <v>0</v>
      </c>
      <c r="V151" s="26">
        <f>IF(I151-Q151=0,"",IF(D151="",(P151+S151)/(I151-Q151),IF(AND(D151&lt;&gt;"",(P151+S151)/(I151-Q151)&gt;=50%),(P151+S151)/(I151-Q151),"")))</f>
      </c>
      <c r="W151" s="26">
        <f>IF(I151=O151,"",IF(V151="",0,(P151+Q151+S151-O151)/(I151-O151)))</f>
      </c>
      <c r="X151" s="49"/>
      <c r="Y151" s="49"/>
      <c r="Z151" s="49"/>
      <c r="AA151" s="49"/>
      <c r="AB151" s="50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</row>
    <row r="152" spans="1:41" s="39" customFormat="1" ht="26.25" customHeight="1">
      <c r="A152" s="32"/>
      <c r="B152" s="138" t="s">
        <v>61</v>
      </c>
      <c r="C152" s="105" t="s">
        <v>2</v>
      </c>
      <c r="D152" s="29" t="s">
        <v>43</v>
      </c>
      <c r="E152" s="16" t="s">
        <v>205</v>
      </c>
      <c r="F152" s="15"/>
      <c r="G152" s="15"/>
      <c r="H152" s="15"/>
      <c r="I152" s="17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8"/>
      <c r="X152" s="30"/>
      <c r="Y152" s="30"/>
      <c r="Z152" s="30"/>
      <c r="AA152" s="30"/>
      <c r="AB152" s="34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</row>
    <row r="153" spans="1:41" s="39" customFormat="1" ht="23.25" customHeight="1">
      <c r="A153" s="32">
        <v>21</v>
      </c>
      <c r="B153" s="139"/>
      <c r="C153" s="106" t="str">
        <f>IF(A153="","VARA",VLOOKUP(A153,'[1]varas'!$A$4:$B$67,2))</f>
        <v>21ª VT Recife</v>
      </c>
      <c r="D153" s="15"/>
      <c r="E153" s="16"/>
      <c r="F153" s="15">
        <f>35+30+8</f>
        <v>73</v>
      </c>
      <c r="G153" s="15">
        <v>20</v>
      </c>
      <c r="H153" s="15">
        <v>23</v>
      </c>
      <c r="I153" s="17">
        <f>SUM(F153:H153)</f>
        <v>116</v>
      </c>
      <c r="J153" s="15">
        <v>10</v>
      </c>
      <c r="K153" s="15">
        <v>5</v>
      </c>
      <c r="L153" s="15">
        <v>3</v>
      </c>
      <c r="M153" s="15">
        <v>5</v>
      </c>
      <c r="N153" s="15">
        <v>0</v>
      </c>
      <c r="O153" s="15">
        <v>30</v>
      </c>
      <c r="P153" s="15">
        <f>SUM(J153:O153)</f>
        <v>53</v>
      </c>
      <c r="Q153" s="15">
        <v>9</v>
      </c>
      <c r="R153" s="15">
        <v>54</v>
      </c>
      <c r="S153" s="15">
        <v>0</v>
      </c>
      <c r="T153" s="15">
        <v>0</v>
      </c>
      <c r="U153" s="15">
        <v>112</v>
      </c>
      <c r="V153" s="18"/>
      <c r="W153" s="18"/>
      <c r="X153" s="30"/>
      <c r="Y153" s="30"/>
      <c r="Z153" s="30"/>
      <c r="AA153" s="30"/>
      <c r="AB153" s="34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</row>
    <row r="154" spans="1:41" s="39" customFormat="1" ht="22.5" customHeight="1">
      <c r="A154" s="32"/>
      <c r="B154" s="135"/>
      <c r="C154" s="107" t="s">
        <v>12</v>
      </c>
      <c r="D154" s="33"/>
      <c r="E154" s="23"/>
      <c r="F154" s="24">
        <f>SUM(F152:F153)</f>
        <v>73</v>
      </c>
      <c r="G154" s="24">
        <f>SUM(G152:G153)</f>
        <v>20</v>
      </c>
      <c r="H154" s="24">
        <f>SUM(H152:H153)</f>
        <v>23</v>
      </c>
      <c r="I154" s="40">
        <f>SUM(F154:H154)</f>
        <v>116</v>
      </c>
      <c r="J154" s="24">
        <f aca="true" t="shared" si="44" ref="J154:O154">SUM(J152:J153)</f>
        <v>10</v>
      </c>
      <c r="K154" s="24">
        <f t="shared" si="44"/>
        <v>5</v>
      </c>
      <c r="L154" s="24">
        <f t="shared" si="44"/>
        <v>3</v>
      </c>
      <c r="M154" s="24">
        <f t="shared" si="44"/>
        <v>5</v>
      </c>
      <c r="N154" s="24">
        <f t="shared" si="44"/>
        <v>0</v>
      </c>
      <c r="O154" s="24">
        <f t="shared" si="44"/>
        <v>30</v>
      </c>
      <c r="P154" s="24">
        <f>SUM(J154:O154)</f>
        <v>53</v>
      </c>
      <c r="Q154" s="24">
        <f>SUM(Q152:Q153)</f>
        <v>9</v>
      </c>
      <c r="R154" s="24">
        <f>SUM(R152:R153)</f>
        <v>54</v>
      </c>
      <c r="S154" s="24">
        <f>SUM(S152:S153)</f>
        <v>0</v>
      </c>
      <c r="T154" s="24">
        <f>SUM(T152:T153)</f>
        <v>0</v>
      </c>
      <c r="U154" s="24">
        <f>SUM(U152:U153)</f>
        <v>112</v>
      </c>
      <c r="V154" s="26">
        <f>IF(I154-Q154=0,"",IF(D154="",(P154+S154)/(I154-Q154),IF(AND(D154&lt;&gt;"",(P154+S154)/(I154-Q154)&gt;=50%),(P154+S154)/(I154-Q154),"")))</f>
        <v>0.4953271028037383</v>
      </c>
      <c r="W154" s="26">
        <f>IF(I154=O154,"",IF(V154="",0,(P154+Q154+S154-O154)/(I154-O154)))</f>
        <v>0.37209302325581395</v>
      </c>
      <c r="X154" s="30"/>
      <c r="Y154" s="30"/>
      <c r="Z154" s="30"/>
      <c r="AA154" s="30"/>
      <c r="AB154" s="34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</row>
    <row r="155" spans="1:41" s="39" customFormat="1" ht="21" customHeight="1">
      <c r="A155" s="32"/>
      <c r="B155" s="146" t="s">
        <v>183</v>
      </c>
      <c r="C155" s="109" t="s">
        <v>154</v>
      </c>
      <c r="D155" s="90"/>
      <c r="E155" s="91" t="s">
        <v>27</v>
      </c>
      <c r="F155" s="92"/>
      <c r="G155" s="92"/>
      <c r="H155" s="92"/>
      <c r="I155" s="93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4"/>
      <c r="W155" s="94"/>
      <c r="X155" s="30"/>
      <c r="Y155" s="30"/>
      <c r="Z155" s="30"/>
      <c r="AA155" s="30"/>
      <c r="AB155" s="34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</row>
    <row r="156" spans="1:41" s="39" customFormat="1" ht="18.75" customHeight="1">
      <c r="A156" s="32">
        <v>32</v>
      </c>
      <c r="B156" s="147"/>
      <c r="C156" s="110" t="str">
        <f>IF(A156="","VARA",VLOOKUP(A156,'[1]varas'!$A$4:$B$67,2))</f>
        <v>1ª VT Ipojuca</v>
      </c>
      <c r="D156" s="90"/>
      <c r="E156" s="91"/>
      <c r="F156" s="92">
        <f>39+17+6+5</f>
        <v>67</v>
      </c>
      <c r="G156" s="92">
        <v>7</v>
      </c>
      <c r="H156" s="92">
        <v>3</v>
      </c>
      <c r="I156" s="93">
        <f>SUM(F156:H156)</f>
        <v>77</v>
      </c>
      <c r="J156" s="92">
        <v>18</v>
      </c>
      <c r="K156" s="92">
        <v>22</v>
      </c>
      <c r="L156" s="92">
        <v>6</v>
      </c>
      <c r="M156" s="92">
        <v>5</v>
      </c>
      <c r="N156" s="92">
        <v>0</v>
      </c>
      <c r="O156" s="92">
        <v>17</v>
      </c>
      <c r="P156" s="92">
        <f>SUM(J156:O156)</f>
        <v>68</v>
      </c>
      <c r="Q156" s="92">
        <v>9</v>
      </c>
      <c r="R156" s="92">
        <v>0</v>
      </c>
      <c r="S156" s="92">
        <v>0</v>
      </c>
      <c r="T156" s="92">
        <v>0</v>
      </c>
      <c r="U156" s="92">
        <v>128</v>
      </c>
      <c r="V156" s="94"/>
      <c r="W156" s="94"/>
      <c r="X156" s="30"/>
      <c r="Y156" s="30"/>
      <c r="Z156" s="30"/>
      <c r="AA156" s="30"/>
      <c r="AB156" s="34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</row>
    <row r="157" spans="1:41" s="39" customFormat="1" ht="20.25" customHeight="1">
      <c r="A157" s="32"/>
      <c r="B157" s="148"/>
      <c r="C157" s="114" t="s">
        <v>12</v>
      </c>
      <c r="D157" s="97"/>
      <c r="E157" s="98"/>
      <c r="F157" s="99">
        <f>SUM(F155:F156)</f>
        <v>67</v>
      </c>
      <c r="G157" s="99">
        <f>SUM(G155:G156)</f>
        <v>7</v>
      </c>
      <c r="H157" s="99">
        <f>SUM(H155:H156)</f>
        <v>3</v>
      </c>
      <c r="I157" s="100">
        <f>SUM(F157:H157)</f>
        <v>77</v>
      </c>
      <c r="J157" s="99">
        <f aca="true" t="shared" si="45" ref="J157:O157">SUM(J155:J156)</f>
        <v>18</v>
      </c>
      <c r="K157" s="99">
        <f t="shared" si="45"/>
        <v>22</v>
      </c>
      <c r="L157" s="99">
        <f t="shared" si="45"/>
        <v>6</v>
      </c>
      <c r="M157" s="99">
        <f t="shared" si="45"/>
        <v>5</v>
      </c>
      <c r="N157" s="99">
        <f t="shared" si="45"/>
        <v>0</v>
      </c>
      <c r="O157" s="99">
        <f t="shared" si="45"/>
        <v>17</v>
      </c>
      <c r="P157" s="99">
        <f>SUM(J157:O157)</f>
        <v>68</v>
      </c>
      <c r="Q157" s="99">
        <f>SUM(Q155:Q156)</f>
        <v>9</v>
      </c>
      <c r="R157" s="99">
        <f>SUM(R155:R156)</f>
        <v>0</v>
      </c>
      <c r="S157" s="99">
        <f>SUM(S155:S156)</f>
        <v>0</v>
      </c>
      <c r="T157" s="99">
        <f>SUM(T155:T156)</f>
        <v>0</v>
      </c>
      <c r="U157" s="99">
        <f>SUM(U155:U156)</f>
        <v>128</v>
      </c>
      <c r="V157" s="101">
        <f>IF(I157-Q157=0,"",IF(D157="",(P157+S157)/(I157-Q157),IF(AND(D157&lt;&gt;"",(P157+S157)/(I157-Q157)&gt;=50%),(P157+S157)/(I157-Q157),"")))</f>
        <v>1</v>
      </c>
      <c r="W157" s="101">
        <f>IF(I157=O157,"",IF(V157="",0,(P157+Q157+S157-O157)/(I157-O157)))</f>
        <v>1</v>
      </c>
      <c r="X157" s="30"/>
      <c r="Y157" s="30"/>
      <c r="Z157" s="30"/>
      <c r="AA157" s="30"/>
      <c r="AB157" s="34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</row>
    <row r="158" spans="1:41" s="39" customFormat="1" ht="27" customHeight="1">
      <c r="A158" s="32"/>
      <c r="B158" s="143" t="s">
        <v>62</v>
      </c>
      <c r="C158" s="14" t="s">
        <v>154</v>
      </c>
      <c r="D158" s="29"/>
      <c r="E158" s="16" t="s">
        <v>27</v>
      </c>
      <c r="F158" s="15"/>
      <c r="G158" s="15"/>
      <c r="H158" s="15"/>
      <c r="I158" s="17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8"/>
      <c r="X158" s="30"/>
      <c r="Y158" s="30"/>
      <c r="Z158" s="30"/>
      <c r="AA158" s="30"/>
      <c r="AB158" s="34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</row>
    <row r="159" spans="1:41" s="39" customFormat="1" ht="21.75" customHeight="1">
      <c r="A159" s="32">
        <v>56</v>
      </c>
      <c r="B159" s="144"/>
      <c r="C159" s="20" t="str">
        <f>IF(A159="","VARA",VLOOKUP(A159,'[1]varas'!$A$4:$B$67,2))</f>
        <v>1ª VT Ribeirão</v>
      </c>
      <c r="D159" s="29"/>
      <c r="E159" s="16"/>
      <c r="F159" s="15">
        <f>5+18+6+16</f>
        <v>45</v>
      </c>
      <c r="G159" s="15">
        <v>0</v>
      </c>
      <c r="H159" s="15">
        <v>49</v>
      </c>
      <c r="I159" s="17">
        <f>SUM(F159:H159)</f>
        <v>94</v>
      </c>
      <c r="J159" s="15">
        <v>0</v>
      </c>
      <c r="K159" s="15">
        <v>0</v>
      </c>
      <c r="L159" s="15">
        <v>6</v>
      </c>
      <c r="M159" s="15">
        <v>14</v>
      </c>
      <c r="N159" s="15">
        <v>2</v>
      </c>
      <c r="O159" s="15">
        <v>18</v>
      </c>
      <c r="P159" s="15">
        <f>SUM(J159:O159)</f>
        <v>40</v>
      </c>
      <c r="Q159" s="15">
        <v>1</v>
      </c>
      <c r="R159" s="15">
        <v>53</v>
      </c>
      <c r="S159" s="15">
        <v>0</v>
      </c>
      <c r="T159" s="15">
        <v>0</v>
      </c>
      <c r="U159" s="15">
        <v>105</v>
      </c>
      <c r="V159" s="18"/>
      <c r="W159" s="18"/>
      <c r="X159" s="30"/>
      <c r="Y159" s="30"/>
      <c r="Z159" s="30"/>
      <c r="AA159" s="30"/>
      <c r="AB159" s="34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</row>
    <row r="160" spans="1:41" s="39" customFormat="1" ht="21" customHeight="1">
      <c r="A160" s="32">
        <v>70</v>
      </c>
      <c r="B160" s="144"/>
      <c r="C160" s="20" t="s">
        <v>169</v>
      </c>
      <c r="D160" s="29"/>
      <c r="E160" s="16"/>
      <c r="F160" s="15">
        <v>6</v>
      </c>
      <c r="G160" s="15">
        <v>19</v>
      </c>
      <c r="H160" s="15">
        <v>0</v>
      </c>
      <c r="I160" s="17">
        <f>SUM(F160:H160)</f>
        <v>25</v>
      </c>
      <c r="J160" s="15">
        <v>17</v>
      </c>
      <c r="K160" s="15">
        <v>0</v>
      </c>
      <c r="L160" s="15">
        <v>0</v>
      </c>
      <c r="M160" s="15">
        <v>0</v>
      </c>
      <c r="N160" s="15">
        <v>0</v>
      </c>
      <c r="O160" s="15">
        <v>5</v>
      </c>
      <c r="P160" s="15">
        <f>SUM(J160:O160)</f>
        <v>22</v>
      </c>
      <c r="Q160" s="15">
        <v>1</v>
      </c>
      <c r="R160" s="15">
        <v>0</v>
      </c>
      <c r="S160" s="15">
        <v>0</v>
      </c>
      <c r="T160" s="15">
        <v>2</v>
      </c>
      <c r="U160" s="15">
        <v>16</v>
      </c>
      <c r="V160" s="18"/>
      <c r="W160" s="18"/>
      <c r="X160" s="30"/>
      <c r="Y160" s="30"/>
      <c r="Z160" s="30"/>
      <c r="AA160" s="30"/>
      <c r="AB160" s="34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</row>
    <row r="161" spans="1:41" s="39" customFormat="1" ht="18.75" customHeight="1">
      <c r="A161" s="32">
        <v>48</v>
      </c>
      <c r="B161" s="144"/>
      <c r="C161" s="20" t="str">
        <f>IF(A161="","VARA",VLOOKUP(A161,'[1]varas'!$A$4:$B$67,2))</f>
        <v>VT Catende</v>
      </c>
      <c r="D161" s="29"/>
      <c r="E161" s="16"/>
      <c r="F161" s="15">
        <v>0</v>
      </c>
      <c r="G161" s="15">
        <v>0</v>
      </c>
      <c r="H161" s="15">
        <v>19</v>
      </c>
      <c r="I161" s="17">
        <f>SUM(F161:H161)</f>
        <v>19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f>SUM(J161:O161)</f>
        <v>0</v>
      </c>
      <c r="Q161" s="15">
        <v>0</v>
      </c>
      <c r="R161" s="15">
        <v>19</v>
      </c>
      <c r="S161" s="15">
        <v>0</v>
      </c>
      <c r="T161" s="15">
        <v>0</v>
      </c>
      <c r="U161" s="15">
        <v>0</v>
      </c>
      <c r="V161" s="18"/>
      <c r="W161" s="18"/>
      <c r="X161" s="30"/>
      <c r="Y161" s="30"/>
      <c r="Z161" s="30"/>
      <c r="AA161" s="30"/>
      <c r="AB161" s="34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</row>
    <row r="162" spans="1:41" s="53" customFormat="1" ht="18" customHeight="1">
      <c r="A162" s="47"/>
      <c r="B162" s="145"/>
      <c r="C162" s="20" t="s">
        <v>12</v>
      </c>
      <c r="D162" s="24"/>
      <c r="E162" s="48"/>
      <c r="F162" s="24">
        <f>SUM(F158:F161)</f>
        <v>51</v>
      </c>
      <c r="G162" s="24">
        <f>SUM(G158:G161)</f>
        <v>19</v>
      </c>
      <c r="H162" s="24">
        <f>SUM(H158:H161)</f>
        <v>68</v>
      </c>
      <c r="I162" s="40">
        <f>SUM(F162:H162)</f>
        <v>138</v>
      </c>
      <c r="J162" s="24">
        <f aca="true" t="shared" si="46" ref="J162:O162">SUM(J158:J161)</f>
        <v>17</v>
      </c>
      <c r="K162" s="24">
        <f t="shared" si="46"/>
        <v>0</v>
      </c>
      <c r="L162" s="24">
        <f t="shared" si="46"/>
        <v>6</v>
      </c>
      <c r="M162" s="24">
        <f t="shared" si="46"/>
        <v>14</v>
      </c>
      <c r="N162" s="24">
        <f t="shared" si="46"/>
        <v>2</v>
      </c>
      <c r="O162" s="24">
        <f t="shared" si="46"/>
        <v>23</v>
      </c>
      <c r="P162" s="24">
        <f>SUM(J162:O162)</f>
        <v>62</v>
      </c>
      <c r="Q162" s="24">
        <f>SUM(Q158:Q161)</f>
        <v>2</v>
      </c>
      <c r="R162" s="24">
        <f>SUM(R158:R161)</f>
        <v>72</v>
      </c>
      <c r="S162" s="24">
        <f>SUM(S158:S161)</f>
        <v>0</v>
      </c>
      <c r="T162" s="24">
        <f>SUM(T158:T161)</f>
        <v>2</v>
      </c>
      <c r="U162" s="24">
        <f>SUM(U158:U161)</f>
        <v>121</v>
      </c>
      <c r="V162" s="26">
        <f>IF(I162-Q162=0,"",IF(D162="",(P162+S162)/(I162-Q162),IF(AND(D162&lt;&gt;"",(P162+S162)/(I162-Q162)&gt;=50%),(P162+S162)/(I162-Q162),"")))</f>
        <v>0.45588235294117646</v>
      </c>
      <c r="W162" s="26">
        <f>IF(I162=O162,"",IF(V162="",0,(P162+Q162+S162-O162)/(I162-O162)))</f>
        <v>0.3565217391304348</v>
      </c>
      <c r="X162" s="49"/>
      <c r="Y162" s="49"/>
      <c r="Z162" s="49"/>
      <c r="AA162" s="49"/>
      <c r="AB162" s="50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</row>
    <row r="163" spans="1:41" s="39" customFormat="1" ht="24" customHeight="1">
      <c r="A163" s="32"/>
      <c r="B163" s="130" t="s">
        <v>63</v>
      </c>
      <c r="C163" s="14" t="s">
        <v>156</v>
      </c>
      <c r="D163" s="29"/>
      <c r="E163" s="16" t="s">
        <v>27</v>
      </c>
      <c r="F163" s="15"/>
      <c r="G163" s="15"/>
      <c r="H163" s="15"/>
      <c r="I163" s="17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8"/>
      <c r="X163" s="30"/>
      <c r="Y163" s="30"/>
      <c r="Z163" s="30"/>
      <c r="AA163" s="30"/>
      <c r="AB163" s="34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</row>
    <row r="164" spans="1:41" s="39" customFormat="1" ht="21" customHeight="1">
      <c r="A164" s="32">
        <v>44</v>
      </c>
      <c r="B164" s="137"/>
      <c r="C164" s="20" t="str">
        <f>IF(A164="","VARA",VLOOKUP(A164,'[1]varas'!$A$4:$B$67,2))</f>
        <v>2ª VT Petrolina</v>
      </c>
      <c r="D164" s="29"/>
      <c r="E164" s="16"/>
      <c r="F164" s="15">
        <f>46+19</f>
        <v>65</v>
      </c>
      <c r="G164" s="15">
        <v>36</v>
      </c>
      <c r="H164" s="15">
        <v>3</v>
      </c>
      <c r="I164" s="17">
        <f>SUM(F164:H164)</f>
        <v>104</v>
      </c>
      <c r="J164" s="15">
        <v>53</v>
      </c>
      <c r="K164" s="15">
        <v>0</v>
      </c>
      <c r="L164" s="15">
        <v>0</v>
      </c>
      <c r="M164" s="15">
        <v>0</v>
      </c>
      <c r="N164" s="15">
        <v>0</v>
      </c>
      <c r="O164" s="15">
        <v>19</v>
      </c>
      <c r="P164" s="15">
        <f>SUM(J164:O164)</f>
        <v>72</v>
      </c>
      <c r="Q164" s="15">
        <v>29</v>
      </c>
      <c r="R164" s="15">
        <v>3</v>
      </c>
      <c r="S164" s="15">
        <v>0</v>
      </c>
      <c r="T164" s="15">
        <v>0</v>
      </c>
      <c r="U164" s="15">
        <v>132</v>
      </c>
      <c r="V164" s="18"/>
      <c r="W164" s="18"/>
      <c r="X164" s="30"/>
      <c r="Y164" s="30"/>
      <c r="Z164" s="30"/>
      <c r="AA164" s="30"/>
      <c r="AB164" s="34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</row>
    <row r="165" spans="1:41" s="39" customFormat="1" ht="22.5" customHeight="1">
      <c r="A165" s="32"/>
      <c r="B165" s="131"/>
      <c r="C165" s="21" t="s">
        <v>12</v>
      </c>
      <c r="D165" s="33"/>
      <c r="E165" s="23"/>
      <c r="F165" s="24">
        <f>SUM(F163:F164)</f>
        <v>65</v>
      </c>
      <c r="G165" s="24">
        <f>SUM(G163:G164)</f>
        <v>36</v>
      </c>
      <c r="H165" s="24">
        <f>SUM(H163:H164)</f>
        <v>3</v>
      </c>
      <c r="I165" s="40">
        <f>SUM(F165:H165)</f>
        <v>104</v>
      </c>
      <c r="J165" s="24">
        <f aca="true" t="shared" si="47" ref="J165:O165">SUM(J163:J164)</f>
        <v>53</v>
      </c>
      <c r="K165" s="24">
        <f t="shared" si="47"/>
        <v>0</v>
      </c>
      <c r="L165" s="24">
        <f t="shared" si="47"/>
        <v>0</v>
      </c>
      <c r="M165" s="24">
        <f t="shared" si="47"/>
        <v>0</v>
      </c>
      <c r="N165" s="24">
        <f t="shared" si="47"/>
        <v>0</v>
      </c>
      <c r="O165" s="24">
        <f t="shared" si="47"/>
        <v>19</v>
      </c>
      <c r="P165" s="24">
        <f>SUM(J165:O165)</f>
        <v>72</v>
      </c>
      <c r="Q165" s="24">
        <f>SUM(Q163:Q164)</f>
        <v>29</v>
      </c>
      <c r="R165" s="24">
        <f>SUM(R163:R164)</f>
        <v>3</v>
      </c>
      <c r="S165" s="24">
        <f>SUM(S163:S164)</f>
        <v>0</v>
      </c>
      <c r="T165" s="24">
        <f>SUM(T163:T164)</f>
        <v>0</v>
      </c>
      <c r="U165" s="24">
        <f>SUM(U163:U164)</f>
        <v>132</v>
      </c>
      <c r="V165" s="26">
        <f>IF(I165-Q165=0,"",IF(D165="",(P165+S165)/(I165-Q165),IF(AND(D165&lt;&gt;"",(P165+S165)/(I165-Q165)&gt;=50%),(P165+S165)/(I165-Q165),"")))</f>
        <v>0.96</v>
      </c>
      <c r="W165" s="26">
        <f>IF(I165=O165,"",IF(V165="",0,(P165+Q165+S165-O165)/(I165-O165)))</f>
        <v>0.9647058823529412</v>
      </c>
      <c r="X165" s="30"/>
      <c r="Y165" s="30"/>
      <c r="Z165" s="30"/>
      <c r="AA165" s="30"/>
      <c r="AB165" s="34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</row>
    <row r="166" spans="1:41" s="39" customFormat="1" ht="25.5" customHeight="1">
      <c r="A166" s="32"/>
      <c r="B166" s="138" t="s">
        <v>64</v>
      </c>
      <c r="C166" s="105" t="s">
        <v>154</v>
      </c>
      <c r="D166" s="29" t="s">
        <v>30</v>
      </c>
      <c r="E166" s="16" t="s">
        <v>206</v>
      </c>
      <c r="F166" s="15"/>
      <c r="G166" s="15"/>
      <c r="H166" s="15"/>
      <c r="I166" s="17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8"/>
      <c r="X166" s="30"/>
      <c r="Y166" s="30"/>
      <c r="Z166" s="30"/>
      <c r="AA166" s="30"/>
      <c r="AB166" s="34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</row>
    <row r="167" spans="1:41" s="39" customFormat="1" ht="19.5" customHeight="1">
      <c r="A167" s="32">
        <v>67</v>
      </c>
      <c r="B167" s="139"/>
      <c r="C167" s="106" t="s">
        <v>167</v>
      </c>
      <c r="D167" s="29"/>
      <c r="E167" s="16"/>
      <c r="F167" s="15">
        <v>0</v>
      </c>
      <c r="G167" s="15">
        <v>6</v>
      </c>
      <c r="H167" s="15">
        <v>2</v>
      </c>
      <c r="I167" s="17">
        <f>SUM(F167:H167)</f>
        <v>8</v>
      </c>
      <c r="J167" s="15">
        <v>8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f>SUM(J167:O167)</f>
        <v>8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8"/>
      <c r="W167" s="18"/>
      <c r="X167" s="30"/>
      <c r="Y167" s="30"/>
      <c r="Z167" s="30"/>
      <c r="AA167" s="30"/>
      <c r="AB167" s="34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</row>
    <row r="168" spans="1:41" s="53" customFormat="1" ht="22.5" customHeight="1">
      <c r="A168" s="47"/>
      <c r="B168" s="135"/>
      <c r="C168" s="107" t="s">
        <v>12</v>
      </c>
      <c r="D168" s="51"/>
      <c r="E168" s="52"/>
      <c r="F168" s="24">
        <f>SUM(F166:F167)</f>
        <v>0</v>
      </c>
      <c r="G168" s="24">
        <f>SUM(G166:G167)</f>
        <v>6</v>
      </c>
      <c r="H168" s="24">
        <f>SUM(H166:H167)</f>
        <v>2</v>
      </c>
      <c r="I168" s="25">
        <f>SUM(F168:H168)</f>
        <v>8</v>
      </c>
      <c r="J168" s="24">
        <f aca="true" t="shared" si="48" ref="J168:O168">SUM(J166:J167)</f>
        <v>8</v>
      </c>
      <c r="K168" s="24">
        <f t="shared" si="48"/>
        <v>0</v>
      </c>
      <c r="L168" s="24">
        <f t="shared" si="48"/>
        <v>0</v>
      </c>
      <c r="M168" s="24">
        <f t="shared" si="48"/>
        <v>0</v>
      </c>
      <c r="N168" s="24">
        <f t="shared" si="48"/>
        <v>0</v>
      </c>
      <c r="O168" s="24">
        <f t="shared" si="48"/>
        <v>0</v>
      </c>
      <c r="P168" s="24">
        <f>SUM(J168:O168)</f>
        <v>8</v>
      </c>
      <c r="Q168" s="24">
        <f>SUM(Q166:Q167)</f>
        <v>0</v>
      </c>
      <c r="R168" s="24">
        <f>SUM(R166:R167)</f>
        <v>0</v>
      </c>
      <c r="S168" s="24">
        <f>SUM(S166:S167)</f>
        <v>0</v>
      </c>
      <c r="T168" s="24">
        <f>SUM(T166:T167)</f>
        <v>0</v>
      </c>
      <c r="U168" s="24">
        <f>SUM(U166:U167)</f>
        <v>0</v>
      </c>
      <c r="V168" s="26">
        <f>IF(I168-Q168=0,"",IF(D168="",(P168+S168)/(I168-Q168),IF(AND(D168&lt;&gt;"",(P168+S168)/(I168-Q168)&gt;=50%),(P168+S168)/(I168-Q168),"")))</f>
        <v>1</v>
      </c>
      <c r="W168" s="26">
        <f>IF(I168=O168,"",IF(V168="",0,(P168+Q168+S168-O168)/(I168-O168)))</f>
        <v>1</v>
      </c>
      <c r="X168" s="49"/>
      <c r="Y168" s="49"/>
      <c r="Z168" s="49"/>
      <c r="AA168" s="49"/>
      <c r="AB168" s="50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</row>
    <row r="169" spans="1:41" s="39" customFormat="1" ht="24" customHeight="1">
      <c r="A169" s="32"/>
      <c r="B169" s="138" t="s">
        <v>65</v>
      </c>
      <c r="C169" s="105" t="s">
        <v>2</v>
      </c>
      <c r="D169" s="29"/>
      <c r="E169" s="16" t="s">
        <v>27</v>
      </c>
      <c r="F169" s="15"/>
      <c r="G169" s="15"/>
      <c r="H169" s="15"/>
      <c r="I169" s="17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8"/>
      <c r="X169" s="30"/>
      <c r="Y169" s="30"/>
      <c r="Z169" s="30"/>
      <c r="AA169" s="30"/>
      <c r="AB169" s="34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</row>
    <row r="170" spans="1:41" s="39" customFormat="1" ht="19.5" customHeight="1">
      <c r="A170" s="32">
        <v>41</v>
      </c>
      <c r="B170" s="139"/>
      <c r="C170" s="106" t="str">
        <f>IF(A170="","VARA",VLOOKUP(A170,'[1]varas'!$A$4:$B$67,2))</f>
        <v>1ª VT Paulista</v>
      </c>
      <c r="D170" s="15"/>
      <c r="E170" s="16"/>
      <c r="F170" s="15">
        <f>3+3+6</f>
        <v>12</v>
      </c>
      <c r="G170" s="15">
        <v>0</v>
      </c>
      <c r="H170" s="15">
        <v>0</v>
      </c>
      <c r="I170" s="17">
        <f>SUM(F170:H170)</f>
        <v>12</v>
      </c>
      <c r="J170" s="15">
        <v>3</v>
      </c>
      <c r="K170" s="15">
        <v>0</v>
      </c>
      <c r="L170" s="15">
        <v>4</v>
      </c>
      <c r="M170" s="15">
        <v>2</v>
      </c>
      <c r="N170" s="15">
        <v>0</v>
      </c>
      <c r="O170" s="15">
        <v>3</v>
      </c>
      <c r="P170" s="15">
        <f>SUM(J170:O170)</f>
        <v>12</v>
      </c>
      <c r="Q170" s="15">
        <v>0</v>
      </c>
      <c r="R170" s="15">
        <v>0</v>
      </c>
      <c r="S170" s="15">
        <v>0</v>
      </c>
      <c r="T170" s="15">
        <v>0</v>
      </c>
      <c r="U170" s="15">
        <v>11</v>
      </c>
      <c r="V170" s="18"/>
      <c r="W170" s="18"/>
      <c r="X170" s="30"/>
      <c r="Y170" s="30"/>
      <c r="Z170" s="30"/>
      <c r="AA170" s="30"/>
      <c r="AB170" s="34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</row>
    <row r="171" spans="1:41" s="39" customFormat="1" ht="24.75" customHeight="1">
      <c r="A171" s="32">
        <v>42</v>
      </c>
      <c r="B171" s="139"/>
      <c r="C171" s="106" t="str">
        <f>IF(A171="","VARA",VLOOKUP(A171,'[1]varas'!$A$4:$B$67,2))</f>
        <v>2ª VT Paulista</v>
      </c>
      <c r="D171" s="15"/>
      <c r="E171" s="16"/>
      <c r="F171" s="15">
        <f>35+29+7+1</f>
        <v>72</v>
      </c>
      <c r="G171" s="15">
        <v>0</v>
      </c>
      <c r="H171" s="15">
        <v>0</v>
      </c>
      <c r="I171" s="17">
        <f>SUM(F171:H171)</f>
        <v>72</v>
      </c>
      <c r="J171" s="15">
        <v>16</v>
      </c>
      <c r="K171" s="15">
        <v>11</v>
      </c>
      <c r="L171" s="15">
        <v>7</v>
      </c>
      <c r="M171" s="15">
        <v>1</v>
      </c>
      <c r="N171" s="15">
        <v>0</v>
      </c>
      <c r="O171" s="15">
        <v>29</v>
      </c>
      <c r="P171" s="15">
        <f>SUM(J171:O171)</f>
        <v>64</v>
      </c>
      <c r="Q171" s="15">
        <v>0</v>
      </c>
      <c r="R171" s="15">
        <v>8</v>
      </c>
      <c r="S171" s="15">
        <v>0</v>
      </c>
      <c r="T171" s="15">
        <v>0</v>
      </c>
      <c r="U171" s="15">
        <v>100</v>
      </c>
      <c r="V171" s="18"/>
      <c r="W171" s="18"/>
      <c r="X171" s="30"/>
      <c r="Y171" s="30"/>
      <c r="Z171" s="30"/>
      <c r="AA171" s="30"/>
      <c r="AB171" s="34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</row>
    <row r="172" spans="1:41" s="53" customFormat="1" ht="18" customHeight="1">
      <c r="A172" s="47"/>
      <c r="B172" s="135"/>
      <c r="C172" s="106" t="s">
        <v>12</v>
      </c>
      <c r="D172" s="24"/>
      <c r="E172" s="48"/>
      <c r="F172" s="24">
        <f>SUM(F169:F171)</f>
        <v>84</v>
      </c>
      <c r="G172" s="24">
        <f>SUM(G169:G171)</f>
        <v>0</v>
      </c>
      <c r="H172" s="24">
        <f>SUM(H169:H171)</f>
        <v>0</v>
      </c>
      <c r="I172" s="40">
        <f>SUM(F172:H172)</f>
        <v>84</v>
      </c>
      <c r="J172" s="24">
        <f aca="true" t="shared" si="49" ref="J172:O172">SUM(J169:J171)</f>
        <v>19</v>
      </c>
      <c r="K172" s="24">
        <f t="shared" si="49"/>
        <v>11</v>
      </c>
      <c r="L172" s="24">
        <f t="shared" si="49"/>
        <v>11</v>
      </c>
      <c r="M172" s="24">
        <f t="shared" si="49"/>
        <v>3</v>
      </c>
      <c r="N172" s="24">
        <f t="shared" si="49"/>
        <v>0</v>
      </c>
      <c r="O172" s="24">
        <f t="shared" si="49"/>
        <v>32</v>
      </c>
      <c r="P172" s="24">
        <f>SUM(J172:O172)</f>
        <v>76</v>
      </c>
      <c r="Q172" s="24">
        <f>SUM(Q169:Q171)</f>
        <v>0</v>
      </c>
      <c r="R172" s="24">
        <f>SUM(R169:R171)</f>
        <v>8</v>
      </c>
      <c r="S172" s="24">
        <f>SUM(S169:S171)</f>
        <v>0</v>
      </c>
      <c r="T172" s="24">
        <f>SUM(T169:T171)</f>
        <v>0</v>
      </c>
      <c r="U172" s="24">
        <f>SUM(U169:U171)</f>
        <v>111</v>
      </c>
      <c r="V172" s="26">
        <f>IF(I172-Q172=0,"",IF(D172="",(P172+S172)/(I172-Q172),IF(AND(D172&lt;&gt;"",(P172+S172)/(I172-Q172)&gt;=50%),(P172+S172)/(I172-Q172),"")))</f>
        <v>0.9047619047619048</v>
      </c>
      <c r="W172" s="26">
        <f>IF(I172=O172,"",IF(V172="",0,(P172+Q172+S172-O172)/(I172-O172)))</f>
        <v>0.8461538461538461</v>
      </c>
      <c r="X172" s="49"/>
      <c r="Y172" s="49"/>
      <c r="Z172" s="49"/>
      <c r="AA172" s="49"/>
      <c r="AB172" s="50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</row>
    <row r="173" spans="1:41" s="39" customFormat="1" ht="24" customHeight="1">
      <c r="A173" s="32"/>
      <c r="B173" s="138" t="s">
        <v>66</v>
      </c>
      <c r="C173" s="105" t="s">
        <v>2</v>
      </c>
      <c r="D173" s="29" t="s">
        <v>30</v>
      </c>
      <c r="E173" s="16" t="s">
        <v>207</v>
      </c>
      <c r="F173" s="15"/>
      <c r="G173" s="15"/>
      <c r="H173" s="15"/>
      <c r="I173" s="17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8"/>
      <c r="X173" s="30"/>
      <c r="Y173" s="30"/>
      <c r="Z173" s="30"/>
      <c r="AA173" s="30"/>
      <c r="AB173" s="34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</row>
    <row r="174" spans="1:41" s="39" customFormat="1" ht="22.5" customHeight="1">
      <c r="A174" s="32">
        <v>68</v>
      </c>
      <c r="B174" s="139"/>
      <c r="C174" s="106" t="s">
        <v>170</v>
      </c>
      <c r="D174" s="15"/>
      <c r="E174" s="16"/>
      <c r="F174" s="15">
        <f>33+8+6</f>
        <v>47</v>
      </c>
      <c r="G174" s="15">
        <v>35</v>
      </c>
      <c r="H174" s="15">
        <v>49</v>
      </c>
      <c r="I174" s="17">
        <f>SUM(F174:H174)</f>
        <v>131</v>
      </c>
      <c r="J174" s="15">
        <v>28</v>
      </c>
      <c r="K174" s="15">
        <v>11</v>
      </c>
      <c r="L174" s="15">
        <v>9</v>
      </c>
      <c r="M174" s="15">
        <v>0</v>
      </c>
      <c r="N174" s="15">
        <v>0</v>
      </c>
      <c r="O174" s="15">
        <v>8</v>
      </c>
      <c r="P174" s="15">
        <f>SUM(J174:O174)</f>
        <v>56</v>
      </c>
      <c r="Q174" s="15">
        <v>41</v>
      </c>
      <c r="R174" s="15">
        <v>34</v>
      </c>
      <c r="S174" s="15">
        <v>0</v>
      </c>
      <c r="T174" s="15">
        <v>0</v>
      </c>
      <c r="U174" s="15">
        <v>95</v>
      </c>
      <c r="V174" s="18"/>
      <c r="W174" s="18"/>
      <c r="X174" s="30"/>
      <c r="Y174" s="30"/>
      <c r="Z174" s="30"/>
      <c r="AA174" s="30"/>
      <c r="AB174" s="34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</row>
    <row r="175" spans="1:41" s="53" customFormat="1" ht="21.75" customHeight="1">
      <c r="A175" s="47"/>
      <c r="B175" s="135"/>
      <c r="C175" s="106" t="s">
        <v>12</v>
      </c>
      <c r="D175" s="24"/>
      <c r="E175" s="48"/>
      <c r="F175" s="24">
        <f>SUM(F173:F174)</f>
        <v>47</v>
      </c>
      <c r="G175" s="24">
        <f>SUM(G173:G174)</f>
        <v>35</v>
      </c>
      <c r="H175" s="24">
        <f>SUM(H173:H174)</f>
        <v>49</v>
      </c>
      <c r="I175" s="40">
        <f>SUM(F175:H175)</f>
        <v>131</v>
      </c>
      <c r="J175" s="24">
        <f aca="true" t="shared" si="50" ref="J175:O175">SUM(J173:J174)</f>
        <v>28</v>
      </c>
      <c r="K175" s="24">
        <f t="shared" si="50"/>
        <v>11</v>
      </c>
      <c r="L175" s="24">
        <f t="shared" si="50"/>
        <v>9</v>
      </c>
      <c r="M175" s="24">
        <f t="shared" si="50"/>
        <v>0</v>
      </c>
      <c r="N175" s="24">
        <f t="shared" si="50"/>
        <v>0</v>
      </c>
      <c r="O175" s="24">
        <f t="shared" si="50"/>
        <v>8</v>
      </c>
      <c r="P175" s="24">
        <f>SUM(J175:O175)</f>
        <v>56</v>
      </c>
      <c r="Q175" s="24">
        <f>SUM(Q173:Q174)</f>
        <v>41</v>
      </c>
      <c r="R175" s="24">
        <f>SUM(R173:R174)</f>
        <v>34</v>
      </c>
      <c r="S175" s="24">
        <f>SUM(S173:S174)</f>
        <v>0</v>
      </c>
      <c r="T175" s="24">
        <f>SUM(T173:T174)</f>
        <v>0</v>
      </c>
      <c r="U175" s="24">
        <f>SUM(U173:U174)</f>
        <v>95</v>
      </c>
      <c r="V175" s="26">
        <f>IF(I175-Q175=0,"",IF(D175="",(P175+S175)/(I175-Q175),IF(AND(D175&lt;&gt;"",(P175+S175)/(I175-Q175)&gt;=50%),(P175+S175)/(I175-Q175),"")))</f>
        <v>0.6222222222222222</v>
      </c>
      <c r="W175" s="26">
        <f>IF(I175=O175,"",IF(V175="",0,(P175+Q175+S175-O175)/(I175-O175)))</f>
        <v>0.7235772357723578</v>
      </c>
      <c r="X175" s="49"/>
      <c r="Y175" s="49"/>
      <c r="Z175" s="49"/>
      <c r="AA175" s="49"/>
      <c r="AB175" s="50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</row>
    <row r="176" spans="1:41" s="53" customFormat="1" ht="25.5" customHeight="1">
      <c r="A176" s="47"/>
      <c r="B176" s="138" t="s">
        <v>172</v>
      </c>
      <c r="C176" s="105" t="s">
        <v>2</v>
      </c>
      <c r="D176" s="29"/>
      <c r="E176" s="16" t="s">
        <v>27</v>
      </c>
      <c r="F176" s="15"/>
      <c r="G176" s="15"/>
      <c r="H176" s="15"/>
      <c r="I176" s="17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8"/>
      <c r="X176" s="49"/>
      <c r="Y176" s="49"/>
      <c r="Z176" s="49"/>
      <c r="AA176" s="49"/>
      <c r="AB176" s="50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</row>
    <row r="177" spans="1:41" s="53" customFormat="1" ht="20.25" customHeight="1">
      <c r="A177" s="32">
        <v>66</v>
      </c>
      <c r="B177" s="139"/>
      <c r="C177" s="106" t="s">
        <v>161</v>
      </c>
      <c r="D177" s="15"/>
      <c r="E177" s="16"/>
      <c r="F177" s="15">
        <f>51+27+13+2</f>
        <v>93</v>
      </c>
      <c r="G177" s="15">
        <v>0</v>
      </c>
      <c r="H177" s="15">
        <v>0</v>
      </c>
      <c r="I177" s="17">
        <f>SUM(F177:H177)</f>
        <v>93</v>
      </c>
      <c r="J177" s="15">
        <v>34</v>
      </c>
      <c r="K177" s="15">
        <v>17</v>
      </c>
      <c r="L177" s="15">
        <v>13</v>
      </c>
      <c r="M177" s="15">
        <v>2</v>
      </c>
      <c r="N177" s="15">
        <v>0</v>
      </c>
      <c r="O177" s="15">
        <v>27</v>
      </c>
      <c r="P177" s="15">
        <f>SUM(J177:O177)</f>
        <v>93</v>
      </c>
      <c r="Q177" s="15">
        <v>0</v>
      </c>
      <c r="R177" s="15">
        <v>0</v>
      </c>
      <c r="S177" s="15">
        <v>0</v>
      </c>
      <c r="T177" s="15">
        <v>0</v>
      </c>
      <c r="U177" s="15">
        <v>155</v>
      </c>
      <c r="V177" s="18"/>
      <c r="W177" s="18"/>
      <c r="X177" s="49"/>
      <c r="Y177" s="49"/>
      <c r="Z177" s="49"/>
      <c r="AA177" s="49"/>
      <c r="AB177" s="50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</row>
    <row r="178" spans="1:41" s="53" customFormat="1" ht="19.5" customHeight="1">
      <c r="A178" s="47"/>
      <c r="B178" s="135"/>
      <c r="C178" s="106" t="s">
        <v>12</v>
      </c>
      <c r="D178" s="24"/>
      <c r="E178" s="48"/>
      <c r="F178" s="24">
        <f>SUM(F176:F177)</f>
        <v>93</v>
      </c>
      <c r="G178" s="24">
        <f>SUM(G176:G177)</f>
        <v>0</v>
      </c>
      <c r="H178" s="24">
        <f>SUM(H176:H177)</f>
        <v>0</v>
      </c>
      <c r="I178" s="40">
        <f>SUM(F178:H178)</f>
        <v>93</v>
      </c>
      <c r="J178" s="24">
        <f aca="true" t="shared" si="51" ref="J178:O178">SUM(J176:J177)</f>
        <v>34</v>
      </c>
      <c r="K178" s="24">
        <f t="shared" si="51"/>
        <v>17</v>
      </c>
      <c r="L178" s="24">
        <f t="shared" si="51"/>
        <v>13</v>
      </c>
      <c r="M178" s="24">
        <f t="shared" si="51"/>
        <v>2</v>
      </c>
      <c r="N178" s="24">
        <f t="shared" si="51"/>
        <v>0</v>
      </c>
      <c r="O178" s="24">
        <f t="shared" si="51"/>
        <v>27</v>
      </c>
      <c r="P178" s="24">
        <f>SUM(J178:O178)</f>
        <v>93</v>
      </c>
      <c r="Q178" s="24">
        <f>SUM(Q176:Q177)</f>
        <v>0</v>
      </c>
      <c r="R178" s="24">
        <f>SUM(R176:R177)</f>
        <v>0</v>
      </c>
      <c r="S178" s="24">
        <f>SUM(S176:S177)</f>
        <v>0</v>
      </c>
      <c r="T178" s="24">
        <f>SUM(T176:T177)</f>
        <v>0</v>
      </c>
      <c r="U178" s="24">
        <f>SUM(U176:U177)</f>
        <v>155</v>
      </c>
      <c r="V178" s="26">
        <f>IF(I178-Q178=0,"",IF(D178="",(P178+S178)/(I178-Q178),IF(AND(D178&lt;&gt;"",(P178+S178)/(I178-Q178)&gt;=50%),(P178+S178)/(I178-Q178),"")))</f>
        <v>1</v>
      </c>
      <c r="W178" s="26">
        <f>IF(I178=O178,"",IF(V178="",0,(P178+Q178+S178-O178)/(I178-O178)))</f>
        <v>1</v>
      </c>
      <c r="X178" s="49"/>
      <c r="Y178" s="49"/>
      <c r="Z178" s="49"/>
      <c r="AA178" s="49"/>
      <c r="AB178" s="50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</row>
    <row r="179" spans="1:41" s="39" customFormat="1" ht="21" customHeight="1">
      <c r="A179" s="32"/>
      <c r="B179" s="130" t="s">
        <v>67</v>
      </c>
      <c r="C179" s="14" t="s">
        <v>2</v>
      </c>
      <c r="D179" s="29" t="s">
        <v>30</v>
      </c>
      <c r="E179" s="16" t="s">
        <v>197</v>
      </c>
      <c r="F179" s="15"/>
      <c r="G179" s="15"/>
      <c r="H179" s="15"/>
      <c r="I179" s="17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8"/>
      <c r="X179" s="30"/>
      <c r="Y179" s="30"/>
      <c r="Z179" s="30"/>
      <c r="AA179" s="30"/>
      <c r="AB179" s="34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s="39" customFormat="1" ht="23.25" customHeight="1">
      <c r="A180" s="32">
        <v>15</v>
      </c>
      <c r="B180" s="137"/>
      <c r="C180" s="20" t="str">
        <f>IF(A180="","VARA",VLOOKUP(A180,'[1]varas'!$A$4:$B$67,2))</f>
        <v>15ª VT Recife</v>
      </c>
      <c r="D180" s="15"/>
      <c r="E180" s="16"/>
      <c r="F180" s="15">
        <v>5</v>
      </c>
      <c r="G180" s="15">
        <v>10</v>
      </c>
      <c r="H180" s="15">
        <v>26</v>
      </c>
      <c r="I180" s="17">
        <f>SUM(F180:H180)</f>
        <v>41</v>
      </c>
      <c r="J180" s="15">
        <v>11</v>
      </c>
      <c r="K180" s="15">
        <v>0</v>
      </c>
      <c r="L180" s="15">
        <v>1</v>
      </c>
      <c r="M180" s="15">
        <v>1</v>
      </c>
      <c r="N180" s="15">
        <v>0</v>
      </c>
      <c r="O180" s="15">
        <v>0</v>
      </c>
      <c r="P180" s="15">
        <f>SUM(J180:O180)</f>
        <v>13</v>
      </c>
      <c r="Q180" s="15">
        <v>0</v>
      </c>
      <c r="R180" s="15">
        <v>28</v>
      </c>
      <c r="S180" s="15">
        <v>0</v>
      </c>
      <c r="T180" s="15">
        <v>0</v>
      </c>
      <c r="U180" s="15">
        <v>0</v>
      </c>
      <c r="V180" s="18"/>
      <c r="W180" s="18"/>
      <c r="X180" s="30"/>
      <c r="Y180" s="30"/>
      <c r="Z180" s="30"/>
      <c r="AA180" s="30"/>
      <c r="AB180" s="34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s="53" customFormat="1" ht="21" customHeight="1">
      <c r="A181" s="47"/>
      <c r="B181" s="131"/>
      <c r="C181" s="21" t="s">
        <v>12</v>
      </c>
      <c r="D181" s="51"/>
      <c r="E181" s="52"/>
      <c r="F181" s="24">
        <f>SUM(F179:F180)</f>
        <v>5</v>
      </c>
      <c r="G181" s="24">
        <f>SUM(G179:G180)</f>
        <v>10</v>
      </c>
      <c r="H181" s="24">
        <f>SUM(H179:H180)</f>
        <v>26</v>
      </c>
      <c r="I181" s="25">
        <f>SUM(F181:H181)</f>
        <v>41</v>
      </c>
      <c r="J181" s="24">
        <f aca="true" t="shared" si="52" ref="J181:O181">SUM(J179:J180)</f>
        <v>11</v>
      </c>
      <c r="K181" s="24">
        <f t="shared" si="52"/>
        <v>0</v>
      </c>
      <c r="L181" s="24">
        <f t="shared" si="52"/>
        <v>1</v>
      </c>
      <c r="M181" s="24">
        <f t="shared" si="52"/>
        <v>1</v>
      </c>
      <c r="N181" s="24">
        <f t="shared" si="52"/>
        <v>0</v>
      </c>
      <c r="O181" s="24">
        <f t="shared" si="52"/>
        <v>0</v>
      </c>
      <c r="P181" s="24">
        <f>SUM(J181:O181)</f>
        <v>13</v>
      </c>
      <c r="Q181" s="24">
        <f>SUM(Q179:Q180)</f>
        <v>0</v>
      </c>
      <c r="R181" s="24">
        <f>SUM(R179:R180)</f>
        <v>28</v>
      </c>
      <c r="S181" s="24">
        <f>SUM(S179:S180)</f>
        <v>0</v>
      </c>
      <c r="T181" s="24">
        <f>SUM(T179:T180)</f>
        <v>0</v>
      </c>
      <c r="U181" s="24">
        <f>SUM(U179:U180)</f>
        <v>0</v>
      </c>
      <c r="V181" s="26">
        <f>IF(I181-Q181=0,"",IF(D181="",(P181+S181)/(I181-Q181),IF(AND(D181&lt;&gt;"",(P181+S181)/(I181-Q181)&gt;=50%),(P181+S181)/(I181-Q181),"")))</f>
        <v>0.3170731707317073</v>
      </c>
      <c r="W181" s="26">
        <f>IF(I181=O181,"",IF(V181="",0,(P181+Q181+S181-O181)/(I181-O181)))</f>
        <v>0.3170731707317073</v>
      </c>
      <c r="X181" s="49"/>
      <c r="Y181" s="49"/>
      <c r="Z181" s="49"/>
      <c r="AA181" s="49"/>
      <c r="AB181" s="50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</row>
    <row r="182" spans="1:41" s="39" customFormat="1" ht="26.25" customHeight="1">
      <c r="A182" s="32"/>
      <c r="B182" s="138" t="s">
        <v>68</v>
      </c>
      <c r="C182" s="105" t="s">
        <v>2</v>
      </c>
      <c r="D182" s="29" t="s">
        <v>30</v>
      </c>
      <c r="E182" s="16" t="s">
        <v>206</v>
      </c>
      <c r="F182" s="15"/>
      <c r="G182" s="15"/>
      <c r="H182" s="15"/>
      <c r="I182" s="17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8"/>
      <c r="X182" s="30"/>
      <c r="Y182" s="30"/>
      <c r="Z182" s="30"/>
      <c r="AA182" s="30"/>
      <c r="AB182" s="34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s="39" customFormat="1" ht="23.25" customHeight="1">
      <c r="A183" s="32">
        <v>28</v>
      </c>
      <c r="B183" s="139"/>
      <c r="C183" s="106" t="str">
        <f>IF(A183="","VARA",VLOOKUP(A183,'[1]varas'!$A$4:$B$67,2))</f>
        <v>1ª VT Caruaru</v>
      </c>
      <c r="D183" s="15"/>
      <c r="E183" s="16"/>
      <c r="F183" s="15">
        <v>2</v>
      </c>
      <c r="G183" s="15">
        <v>14</v>
      </c>
      <c r="H183" s="15">
        <v>0</v>
      </c>
      <c r="I183" s="17">
        <f>SUM(F183:H183)</f>
        <v>16</v>
      </c>
      <c r="J183" s="15">
        <v>15</v>
      </c>
      <c r="K183" s="15">
        <v>1</v>
      </c>
      <c r="L183" s="15">
        <v>0</v>
      </c>
      <c r="M183" s="15">
        <v>0</v>
      </c>
      <c r="N183" s="15">
        <v>0</v>
      </c>
      <c r="O183" s="15">
        <v>0</v>
      </c>
      <c r="P183" s="15">
        <f>SUM(J183:O183)</f>
        <v>16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8"/>
      <c r="W183" s="18"/>
      <c r="X183" s="30"/>
      <c r="Y183" s="30"/>
      <c r="Z183" s="30"/>
      <c r="AA183" s="30"/>
      <c r="AB183" s="34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s="39" customFormat="1" ht="21.75" customHeight="1">
      <c r="A184" s="32"/>
      <c r="B184" s="135"/>
      <c r="C184" s="107" t="s">
        <v>12</v>
      </c>
      <c r="D184" s="33"/>
      <c r="E184" s="23"/>
      <c r="F184" s="24">
        <f>SUM(F182:F183)</f>
        <v>2</v>
      </c>
      <c r="G184" s="24">
        <f>SUM(G182:G183)</f>
        <v>14</v>
      </c>
      <c r="H184" s="24">
        <f>SUM(H182:H183)</f>
        <v>0</v>
      </c>
      <c r="I184" s="40">
        <f>SUM(F184:H184)</f>
        <v>16</v>
      </c>
      <c r="J184" s="24">
        <f aca="true" t="shared" si="53" ref="J184:O184">SUM(J182:J183)</f>
        <v>15</v>
      </c>
      <c r="K184" s="24">
        <f t="shared" si="53"/>
        <v>1</v>
      </c>
      <c r="L184" s="24">
        <f t="shared" si="53"/>
        <v>0</v>
      </c>
      <c r="M184" s="24">
        <f t="shared" si="53"/>
        <v>0</v>
      </c>
      <c r="N184" s="24">
        <f t="shared" si="53"/>
        <v>0</v>
      </c>
      <c r="O184" s="24">
        <f t="shared" si="53"/>
        <v>0</v>
      </c>
      <c r="P184" s="24">
        <f>SUM(J184:O184)</f>
        <v>16</v>
      </c>
      <c r="Q184" s="24">
        <f>SUM(Q182:Q183)</f>
        <v>0</v>
      </c>
      <c r="R184" s="24">
        <f>SUM(R182:R183)</f>
        <v>0</v>
      </c>
      <c r="S184" s="24">
        <f>SUM(S182:S183)</f>
        <v>0</v>
      </c>
      <c r="T184" s="24">
        <f>SUM(T182:T183)</f>
        <v>0</v>
      </c>
      <c r="U184" s="24">
        <f>SUM(U182:U183)</f>
        <v>0</v>
      </c>
      <c r="V184" s="26">
        <f>IF(I184-Q184=0,"",IF(D184="",(P184+S184)/(I184-Q184),IF(AND(D184&lt;&gt;"",(P184+S184)/(I184-Q184)&gt;=50%),(P184+S184)/(I184-Q184),"")))</f>
        <v>1</v>
      </c>
      <c r="W184" s="26">
        <f>IF(I184=O184,"",IF(V184="",0,(P184+Q184+S184-O184)/(I184-O184)))</f>
        <v>1</v>
      </c>
      <c r="X184" s="30"/>
      <c r="Y184" s="30"/>
      <c r="Z184" s="30"/>
      <c r="AA184" s="30"/>
      <c r="AB184" s="34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s="39" customFormat="1" ht="26.25" customHeight="1">
      <c r="A185" s="32"/>
      <c r="B185" s="138" t="s">
        <v>69</v>
      </c>
      <c r="C185" s="105" t="s">
        <v>2</v>
      </c>
      <c r="D185" s="29" t="s">
        <v>30</v>
      </c>
      <c r="E185" s="16" t="s">
        <v>208</v>
      </c>
      <c r="F185" s="15"/>
      <c r="G185" s="15"/>
      <c r="H185" s="15"/>
      <c r="I185" s="17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8"/>
      <c r="X185" s="30"/>
      <c r="Y185" s="30"/>
      <c r="Z185" s="30"/>
      <c r="AA185" s="30"/>
      <c r="AB185" s="34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s="39" customFormat="1" ht="22.5" customHeight="1">
      <c r="A186" s="32">
        <v>33</v>
      </c>
      <c r="B186" s="139"/>
      <c r="C186" s="106" t="str">
        <f>IF(A186="","VARA",VLOOKUP(A186,'[1]varas'!$A$4:$B$67,2))</f>
        <v>2ª VT Ipojuca</v>
      </c>
      <c r="D186" s="29"/>
      <c r="E186" s="16"/>
      <c r="F186" s="15">
        <v>8</v>
      </c>
      <c r="G186" s="15">
        <v>7</v>
      </c>
      <c r="H186" s="15">
        <v>0</v>
      </c>
      <c r="I186" s="17">
        <f>SUM(F186:H186)</f>
        <v>15</v>
      </c>
      <c r="J186" s="15">
        <v>2</v>
      </c>
      <c r="K186" s="15">
        <v>3</v>
      </c>
      <c r="L186" s="15">
        <v>0</v>
      </c>
      <c r="M186" s="15">
        <v>0</v>
      </c>
      <c r="N186" s="15">
        <v>0</v>
      </c>
      <c r="O186" s="15">
        <v>0</v>
      </c>
      <c r="P186" s="15">
        <f>SUM(J186:O186)</f>
        <v>5</v>
      </c>
      <c r="Q186" s="15">
        <v>5</v>
      </c>
      <c r="R186" s="15">
        <v>5</v>
      </c>
      <c r="S186" s="15">
        <v>0</v>
      </c>
      <c r="T186" s="15">
        <v>0</v>
      </c>
      <c r="U186" s="15">
        <v>17</v>
      </c>
      <c r="V186" s="18"/>
      <c r="W186" s="18"/>
      <c r="X186" s="30"/>
      <c r="Y186" s="30"/>
      <c r="Z186" s="30"/>
      <c r="AA186" s="30"/>
      <c r="AB186" s="34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s="39" customFormat="1" ht="22.5" customHeight="1">
      <c r="A187" s="32"/>
      <c r="B187" s="135"/>
      <c r="C187" s="107" t="s">
        <v>12</v>
      </c>
      <c r="D187" s="33"/>
      <c r="E187" s="23"/>
      <c r="F187" s="24">
        <f>SUM(F185:F186)</f>
        <v>8</v>
      </c>
      <c r="G187" s="24">
        <f>SUM(G185:G186)</f>
        <v>7</v>
      </c>
      <c r="H187" s="24">
        <f>SUM(H185:H186)</f>
        <v>0</v>
      </c>
      <c r="I187" s="40">
        <f>SUM(F187:H187)</f>
        <v>15</v>
      </c>
      <c r="J187" s="24">
        <f aca="true" t="shared" si="54" ref="J187:O187">SUM(J185:J186)</f>
        <v>2</v>
      </c>
      <c r="K187" s="24">
        <f t="shared" si="54"/>
        <v>3</v>
      </c>
      <c r="L187" s="24">
        <f t="shared" si="54"/>
        <v>0</v>
      </c>
      <c r="M187" s="24">
        <f t="shared" si="54"/>
        <v>0</v>
      </c>
      <c r="N187" s="24">
        <f t="shared" si="54"/>
        <v>0</v>
      </c>
      <c r="O187" s="24">
        <f t="shared" si="54"/>
        <v>0</v>
      </c>
      <c r="P187" s="24">
        <f>SUM(J187:O187)</f>
        <v>5</v>
      </c>
      <c r="Q187" s="24">
        <f>SUM(Q185:Q186)</f>
        <v>5</v>
      </c>
      <c r="R187" s="24">
        <f>SUM(R185:R186)</f>
        <v>5</v>
      </c>
      <c r="S187" s="24">
        <f>SUM(S185:S186)</f>
        <v>0</v>
      </c>
      <c r="T187" s="24">
        <f>SUM(T185:T186)</f>
        <v>0</v>
      </c>
      <c r="U187" s="24">
        <f>SUM(U185:U186)</f>
        <v>17</v>
      </c>
      <c r="V187" s="26">
        <f>IF(I187-Q187=0,"",IF(D187="",(P187+S187)/(I187-Q187),IF(AND(D187&lt;&gt;"",(P187+S187)/(I187-Q187)&gt;=50%),(P187+S187)/(I187-Q187),"")))</f>
        <v>0.5</v>
      </c>
      <c r="W187" s="26">
        <f>IF(I187=O187,"",IF(V187="",0,(P187+Q187+S187-O187)/(I187-O187)))</f>
        <v>0.6666666666666666</v>
      </c>
      <c r="X187" s="30"/>
      <c r="Y187" s="30"/>
      <c r="Z187" s="30"/>
      <c r="AA187" s="30"/>
      <c r="AB187" s="34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s="39" customFormat="1" ht="26.25" customHeight="1">
      <c r="A188" s="32"/>
      <c r="B188" s="130" t="s">
        <v>70</v>
      </c>
      <c r="C188" s="14" t="s">
        <v>2</v>
      </c>
      <c r="D188" s="29" t="s">
        <v>209</v>
      </c>
      <c r="E188" s="16" t="s">
        <v>210</v>
      </c>
      <c r="F188" s="15"/>
      <c r="G188" s="15"/>
      <c r="H188" s="15"/>
      <c r="I188" s="17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8"/>
      <c r="X188" s="30"/>
      <c r="Y188" s="30"/>
      <c r="Z188" s="30"/>
      <c r="AA188" s="30"/>
      <c r="AB188" s="34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s="39" customFormat="1" ht="22.5" customHeight="1">
      <c r="A189" s="32">
        <v>47</v>
      </c>
      <c r="B189" s="137"/>
      <c r="C189" s="20" t="str">
        <f>IF(A189="","VARA",VLOOKUP(A189,'[1]varas'!$A$4:$B$67,2))</f>
        <v>VT Carpina</v>
      </c>
      <c r="D189" s="15"/>
      <c r="E189" s="16"/>
      <c r="F189" s="15">
        <v>0</v>
      </c>
      <c r="G189" s="15">
        <v>5</v>
      </c>
      <c r="H189" s="15">
        <v>9</v>
      </c>
      <c r="I189" s="17">
        <f>SUM(F189:H189)</f>
        <v>14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f>SUM(J189:O189)</f>
        <v>0</v>
      </c>
      <c r="Q189" s="15">
        <v>5</v>
      </c>
      <c r="R189" s="15">
        <v>9</v>
      </c>
      <c r="S189" s="15">
        <v>0</v>
      </c>
      <c r="T189" s="15">
        <v>0</v>
      </c>
      <c r="U189" s="15">
        <v>0</v>
      </c>
      <c r="V189" s="18"/>
      <c r="W189" s="18"/>
      <c r="X189" s="30"/>
      <c r="Y189" s="30"/>
      <c r="Z189" s="30"/>
      <c r="AA189" s="30"/>
      <c r="AB189" s="34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s="53" customFormat="1" ht="22.5" customHeight="1">
      <c r="A190" s="47"/>
      <c r="B190" s="131"/>
      <c r="C190" s="20" t="s">
        <v>12</v>
      </c>
      <c r="D190" s="24"/>
      <c r="E190" s="48"/>
      <c r="F190" s="24">
        <f>SUM(F188:F189)</f>
        <v>0</v>
      </c>
      <c r="G190" s="24">
        <f>SUM(G188:G189)</f>
        <v>5</v>
      </c>
      <c r="H190" s="24">
        <f>SUM(H188:H189)</f>
        <v>9</v>
      </c>
      <c r="I190" s="40">
        <f>SUM(F190:H190)</f>
        <v>14</v>
      </c>
      <c r="J190" s="24">
        <f aca="true" t="shared" si="55" ref="J190:O190">SUM(J188:J189)</f>
        <v>0</v>
      </c>
      <c r="K190" s="24">
        <f t="shared" si="55"/>
        <v>0</v>
      </c>
      <c r="L190" s="24">
        <f t="shared" si="55"/>
        <v>0</v>
      </c>
      <c r="M190" s="24">
        <f t="shared" si="55"/>
        <v>0</v>
      </c>
      <c r="N190" s="24">
        <f t="shared" si="55"/>
        <v>0</v>
      </c>
      <c r="O190" s="24">
        <f t="shared" si="55"/>
        <v>0</v>
      </c>
      <c r="P190" s="24">
        <f>SUM(J190:O190)</f>
        <v>0</v>
      </c>
      <c r="Q190" s="24">
        <f>SUM(Q188:Q189)</f>
        <v>5</v>
      </c>
      <c r="R190" s="24">
        <f>SUM(R188:R189)</f>
        <v>9</v>
      </c>
      <c r="S190" s="24">
        <f>SUM(S188:S189)</f>
        <v>0</v>
      </c>
      <c r="T190" s="24">
        <f>SUM(T188:T189)</f>
        <v>0</v>
      </c>
      <c r="U190" s="24">
        <f>SUM(U188:U189)</f>
        <v>0</v>
      </c>
      <c r="V190" s="26">
        <f>IF(I190-Q190=0,"",IF(D190="",(P190+S190)/(I190-Q190),IF(AND(D190&lt;&gt;"",(P190+S190)/(I190-Q190)&gt;=50%),(P190+S190)/(I190-Q190),"")))</f>
        <v>0</v>
      </c>
      <c r="W190" s="26">
        <f>IF(I190=O190,"",IF(V190="",0,(P190+Q190+S190-O190)/(I190-O190)))</f>
        <v>0.35714285714285715</v>
      </c>
      <c r="X190" s="49"/>
      <c r="Y190" s="49"/>
      <c r="Z190" s="49"/>
      <c r="AA190" s="49"/>
      <c r="AB190" s="50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</row>
    <row r="191" spans="1:41" s="39" customFormat="1" ht="24" customHeight="1">
      <c r="A191" s="32"/>
      <c r="B191" s="138" t="s">
        <v>71</v>
      </c>
      <c r="C191" s="105" t="s">
        <v>156</v>
      </c>
      <c r="D191" s="15"/>
      <c r="E191" s="16" t="s">
        <v>27</v>
      </c>
      <c r="F191" s="15"/>
      <c r="G191" s="15"/>
      <c r="H191" s="15"/>
      <c r="I191" s="17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8"/>
      <c r="X191" s="30"/>
      <c r="Y191" s="30"/>
      <c r="Z191" s="30"/>
      <c r="AA191" s="30"/>
      <c r="AB191" s="34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s="39" customFormat="1" ht="20.25" customHeight="1">
      <c r="A192" s="32">
        <v>5</v>
      </c>
      <c r="B192" s="139"/>
      <c r="C192" s="106" t="str">
        <f>IF(A192="","VARA",VLOOKUP(A192,'[1]varas'!$A$4:$B$67,2))</f>
        <v>5ª VT Recife</v>
      </c>
      <c r="D192" s="15"/>
      <c r="E192" s="16"/>
      <c r="F192" s="15">
        <f>50+23+23+14</f>
        <v>110</v>
      </c>
      <c r="G192" s="15">
        <v>0</v>
      </c>
      <c r="H192" s="15">
        <v>3</v>
      </c>
      <c r="I192" s="17">
        <f>SUM(F192:H192)</f>
        <v>113</v>
      </c>
      <c r="J192" s="15">
        <v>37</v>
      </c>
      <c r="K192" s="15">
        <v>3</v>
      </c>
      <c r="L192" s="15">
        <v>23</v>
      </c>
      <c r="M192" s="15">
        <v>19</v>
      </c>
      <c r="N192" s="15">
        <v>0</v>
      </c>
      <c r="O192" s="15">
        <v>23</v>
      </c>
      <c r="P192" s="15">
        <f>SUM(J192:O192)</f>
        <v>105</v>
      </c>
      <c r="Q192" s="15">
        <v>8</v>
      </c>
      <c r="R192" s="15">
        <v>0</v>
      </c>
      <c r="S192" s="15">
        <v>0</v>
      </c>
      <c r="T192" s="15">
        <v>0</v>
      </c>
      <c r="U192" s="15">
        <v>108</v>
      </c>
      <c r="V192" s="18"/>
      <c r="W192" s="18"/>
      <c r="X192" s="30"/>
      <c r="Y192" s="30"/>
      <c r="Z192" s="30"/>
      <c r="AA192" s="30"/>
      <c r="AB192" s="34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s="39" customFormat="1" ht="21" customHeight="1">
      <c r="A193" s="32"/>
      <c r="B193" s="135"/>
      <c r="C193" s="107" t="s">
        <v>12</v>
      </c>
      <c r="D193" s="33"/>
      <c r="E193" s="23"/>
      <c r="F193" s="24">
        <f>SUM(F191:F192)</f>
        <v>110</v>
      </c>
      <c r="G193" s="24">
        <f>SUM(G191:G192)</f>
        <v>0</v>
      </c>
      <c r="H193" s="24">
        <f>SUM(H191:H192)</f>
        <v>3</v>
      </c>
      <c r="I193" s="25">
        <f>SUM(F193:H193)</f>
        <v>113</v>
      </c>
      <c r="J193" s="24">
        <f aca="true" t="shared" si="56" ref="J193:O193">SUM(J191:J192)</f>
        <v>37</v>
      </c>
      <c r="K193" s="24">
        <f t="shared" si="56"/>
        <v>3</v>
      </c>
      <c r="L193" s="24">
        <f t="shared" si="56"/>
        <v>23</v>
      </c>
      <c r="M193" s="24">
        <f t="shared" si="56"/>
        <v>19</v>
      </c>
      <c r="N193" s="24">
        <f t="shared" si="56"/>
        <v>0</v>
      </c>
      <c r="O193" s="24">
        <f t="shared" si="56"/>
        <v>23</v>
      </c>
      <c r="P193" s="24">
        <f>SUM(J193:O193)</f>
        <v>105</v>
      </c>
      <c r="Q193" s="24">
        <f>SUM(Q191:Q192)</f>
        <v>8</v>
      </c>
      <c r="R193" s="24">
        <f>SUM(R191:R192)</f>
        <v>0</v>
      </c>
      <c r="S193" s="24">
        <f>SUM(S191:S192)</f>
        <v>0</v>
      </c>
      <c r="T193" s="24">
        <f>SUM(T191:T192)</f>
        <v>0</v>
      </c>
      <c r="U193" s="24">
        <f>SUM(U191:U192)</f>
        <v>108</v>
      </c>
      <c r="V193" s="26">
        <f>IF(I193-Q193=0,"",IF(D193="",(P193+S193)/(I193-Q193),IF(AND(D193&lt;&gt;"",(P193+S193)/(I193-Q193)&gt;=50%),(P193+S193)/(I193-Q193),"")))</f>
        <v>1</v>
      </c>
      <c r="W193" s="26">
        <f>IF(I193=O193,"",IF(V193="",0,(P193+Q193+S193-O193)/(I193-O193)))</f>
        <v>1</v>
      </c>
      <c r="X193" s="30"/>
      <c r="Y193" s="30"/>
      <c r="Z193" s="30"/>
      <c r="AA193" s="30"/>
      <c r="AB193" s="34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s="39" customFormat="1" ht="21" customHeight="1">
      <c r="A194" s="32"/>
      <c r="B194" s="138" t="s">
        <v>185</v>
      </c>
      <c r="C194" s="105" t="s">
        <v>154</v>
      </c>
      <c r="D194" s="29" t="s">
        <v>30</v>
      </c>
      <c r="E194" s="16" t="s">
        <v>197</v>
      </c>
      <c r="F194" s="15"/>
      <c r="G194" s="15"/>
      <c r="H194" s="15"/>
      <c r="I194" s="17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8"/>
      <c r="X194" s="30"/>
      <c r="Y194" s="30"/>
      <c r="Z194" s="30"/>
      <c r="AA194" s="30"/>
      <c r="AB194" s="34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s="39" customFormat="1" ht="21" customHeight="1">
      <c r="A195" s="32">
        <v>12</v>
      </c>
      <c r="B195" s="139"/>
      <c r="C195" s="106" t="str">
        <f>IF(A195="","VARA",VLOOKUP(A195,'[1]varas'!$A$4:$B$67,2))</f>
        <v>12ª VT Recife</v>
      </c>
      <c r="D195" s="29"/>
      <c r="E195" s="16"/>
      <c r="F195" s="15">
        <v>15</v>
      </c>
      <c r="G195" s="15">
        <v>16</v>
      </c>
      <c r="H195" s="15">
        <v>18</v>
      </c>
      <c r="I195" s="17">
        <f>SUM(F195:H195)</f>
        <v>49</v>
      </c>
      <c r="J195" s="15">
        <v>3</v>
      </c>
      <c r="K195" s="15">
        <v>0</v>
      </c>
      <c r="L195" s="15">
        <v>11</v>
      </c>
      <c r="M195" s="15">
        <v>0</v>
      </c>
      <c r="N195" s="15">
        <v>0</v>
      </c>
      <c r="O195" s="15">
        <v>1</v>
      </c>
      <c r="P195" s="15">
        <f>SUM(J195:O195)</f>
        <v>15</v>
      </c>
      <c r="Q195" s="15">
        <v>17</v>
      </c>
      <c r="R195" s="15">
        <v>17</v>
      </c>
      <c r="S195" s="15">
        <v>0</v>
      </c>
      <c r="T195" s="15">
        <v>0</v>
      </c>
      <c r="U195" s="15">
        <v>0</v>
      </c>
      <c r="V195" s="18"/>
      <c r="W195" s="18"/>
      <c r="X195" s="30"/>
      <c r="Y195" s="30"/>
      <c r="Z195" s="30"/>
      <c r="AA195" s="30"/>
      <c r="AB195" s="34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s="53" customFormat="1" ht="18" customHeight="1">
      <c r="A196" s="47"/>
      <c r="B196" s="135"/>
      <c r="C196" s="107" t="s">
        <v>12</v>
      </c>
      <c r="D196" s="51"/>
      <c r="E196" s="52"/>
      <c r="F196" s="24">
        <f>SUM(F194:F195)</f>
        <v>15</v>
      </c>
      <c r="G196" s="24">
        <f>SUM(G194:G195)</f>
        <v>16</v>
      </c>
      <c r="H196" s="24">
        <f>SUM(H194:H195)</f>
        <v>18</v>
      </c>
      <c r="I196" s="25">
        <f>SUM(F196:H196)</f>
        <v>49</v>
      </c>
      <c r="J196" s="24">
        <f aca="true" t="shared" si="57" ref="J196:O196">SUM(J194:J195)</f>
        <v>3</v>
      </c>
      <c r="K196" s="24">
        <f t="shared" si="57"/>
        <v>0</v>
      </c>
      <c r="L196" s="24">
        <f t="shared" si="57"/>
        <v>11</v>
      </c>
      <c r="M196" s="24">
        <f t="shared" si="57"/>
        <v>0</v>
      </c>
      <c r="N196" s="24">
        <f t="shared" si="57"/>
        <v>0</v>
      </c>
      <c r="O196" s="24">
        <f t="shared" si="57"/>
        <v>1</v>
      </c>
      <c r="P196" s="24">
        <f>SUM(J196:O196)</f>
        <v>15</v>
      </c>
      <c r="Q196" s="24">
        <f>SUM(Q194:Q195)</f>
        <v>17</v>
      </c>
      <c r="R196" s="24">
        <f>SUM(R194:R195)</f>
        <v>17</v>
      </c>
      <c r="S196" s="24">
        <f>SUM(S194:S195)</f>
        <v>0</v>
      </c>
      <c r="T196" s="24">
        <f>SUM(T194:T195)</f>
        <v>0</v>
      </c>
      <c r="U196" s="24">
        <f>SUM(U194:U195)</f>
        <v>0</v>
      </c>
      <c r="V196" s="26">
        <f>IF(I196-Q196=0,"",IF(D196="",(P196+S196)/(I196-Q196),IF(AND(D196&lt;&gt;"",(P196+S196)/(I196-Q196)&gt;=50%),(P196+S196)/(I196-Q196),"")))</f>
        <v>0.46875</v>
      </c>
      <c r="W196" s="26">
        <f>IF(I196=O196,"",IF(V196="",0,(P196+Q196+S196-O196)/(I196-O196)))</f>
        <v>0.6458333333333334</v>
      </c>
      <c r="X196" s="49"/>
      <c r="Y196" s="49"/>
      <c r="Z196" s="49"/>
      <c r="AA196" s="49"/>
      <c r="AB196" s="50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</row>
    <row r="197" spans="1:41" s="39" customFormat="1" ht="21.75" customHeight="1">
      <c r="A197" s="32"/>
      <c r="B197" s="130" t="s">
        <v>72</v>
      </c>
      <c r="C197" s="14" t="s">
        <v>156</v>
      </c>
      <c r="D197" s="29"/>
      <c r="E197" s="16" t="s">
        <v>27</v>
      </c>
      <c r="F197" s="15"/>
      <c r="G197" s="15"/>
      <c r="H197" s="15"/>
      <c r="I197" s="17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8"/>
      <c r="X197" s="30"/>
      <c r="Y197" s="30"/>
      <c r="Z197" s="30"/>
      <c r="AA197" s="30"/>
      <c r="AB197" s="34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s="39" customFormat="1" ht="21" customHeight="1">
      <c r="A198" s="32">
        <v>31</v>
      </c>
      <c r="B198" s="137"/>
      <c r="C198" s="20" t="str">
        <f>IF(A198="","VARA",VLOOKUP(A198,'[1]varas'!$A$4:$B$67,2))</f>
        <v>1ª VT Igarassu</v>
      </c>
      <c r="D198" s="15"/>
      <c r="E198" s="16"/>
      <c r="F198" s="15">
        <f>24+37</f>
        <v>61</v>
      </c>
      <c r="G198" s="15">
        <v>0</v>
      </c>
      <c r="H198" s="15">
        <v>0</v>
      </c>
      <c r="I198" s="17">
        <f>SUM(F198:H198)</f>
        <v>61</v>
      </c>
      <c r="J198" s="15">
        <v>12</v>
      </c>
      <c r="K198" s="15">
        <v>5</v>
      </c>
      <c r="L198" s="15">
        <v>0</v>
      </c>
      <c r="M198" s="15">
        <v>0</v>
      </c>
      <c r="N198" s="15">
        <v>0</v>
      </c>
      <c r="O198" s="15">
        <v>37</v>
      </c>
      <c r="P198" s="15">
        <f>SUM(J198:O198)</f>
        <v>54</v>
      </c>
      <c r="Q198" s="15">
        <v>7</v>
      </c>
      <c r="R198" s="15">
        <v>0</v>
      </c>
      <c r="S198" s="15">
        <v>0</v>
      </c>
      <c r="T198" s="15">
        <v>0</v>
      </c>
      <c r="U198" s="15">
        <v>76</v>
      </c>
      <c r="V198" s="18"/>
      <c r="W198" s="18"/>
      <c r="X198" s="30"/>
      <c r="Y198" s="30"/>
      <c r="Z198" s="30"/>
      <c r="AA198" s="30"/>
      <c r="AB198" s="34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s="53" customFormat="1" ht="20.25" customHeight="1">
      <c r="A199" s="47"/>
      <c r="B199" s="131"/>
      <c r="C199" s="21" t="s">
        <v>12</v>
      </c>
      <c r="D199" s="51"/>
      <c r="E199" s="52"/>
      <c r="F199" s="24">
        <f>SUM(F197:F198)</f>
        <v>61</v>
      </c>
      <c r="G199" s="24">
        <f>SUM(G197:G198)</f>
        <v>0</v>
      </c>
      <c r="H199" s="24">
        <f>SUM(H197:H198)</f>
        <v>0</v>
      </c>
      <c r="I199" s="25">
        <f>SUM(F199:H199)</f>
        <v>61</v>
      </c>
      <c r="J199" s="24">
        <f aca="true" t="shared" si="58" ref="J199:O199">SUM(J197:J198)</f>
        <v>12</v>
      </c>
      <c r="K199" s="24">
        <f t="shared" si="58"/>
        <v>5</v>
      </c>
      <c r="L199" s="24">
        <f t="shared" si="58"/>
        <v>0</v>
      </c>
      <c r="M199" s="24">
        <f t="shared" si="58"/>
        <v>0</v>
      </c>
      <c r="N199" s="24">
        <f t="shared" si="58"/>
        <v>0</v>
      </c>
      <c r="O199" s="24">
        <f t="shared" si="58"/>
        <v>37</v>
      </c>
      <c r="P199" s="24">
        <f>SUM(J199:O199)</f>
        <v>54</v>
      </c>
      <c r="Q199" s="24">
        <f>SUM(Q197:Q198)</f>
        <v>7</v>
      </c>
      <c r="R199" s="24">
        <f>SUM(R197:R198)</f>
        <v>0</v>
      </c>
      <c r="S199" s="24">
        <f>SUM(S197:S198)</f>
        <v>0</v>
      </c>
      <c r="T199" s="24">
        <f>SUM(T197:T198)</f>
        <v>0</v>
      </c>
      <c r="U199" s="24">
        <f>SUM(U197:U198)</f>
        <v>76</v>
      </c>
      <c r="V199" s="26">
        <f>IF(I199-Q199=0,"",IF(D199="",(P199+S199)/(I199-Q199),IF(AND(D199&lt;&gt;"",(P199+S199)/(I199-Q199)&gt;=50%),(P199+S199)/(I199-Q199),"")))</f>
        <v>1</v>
      </c>
      <c r="W199" s="26">
        <f>IF(I199=O199,"",IF(V199="",0,(P199+Q199+S199-O199)/(I199-O199)))</f>
        <v>1</v>
      </c>
      <c r="X199" s="49"/>
      <c r="Y199" s="49"/>
      <c r="Z199" s="49"/>
      <c r="AA199" s="49"/>
      <c r="AB199" s="50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</row>
    <row r="200" spans="1:41" s="39" customFormat="1" ht="21" customHeight="1">
      <c r="A200" s="32"/>
      <c r="B200" s="138" t="s">
        <v>73</v>
      </c>
      <c r="C200" s="105" t="s">
        <v>154</v>
      </c>
      <c r="D200" s="29"/>
      <c r="E200" s="16" t="s">
        <v>27</v>
      </c>
      <c r="F200" s="15"/>
      <c r="G200" s="15"/>
      <c r="H200" s="15"/>
      <c r="I200" s="17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8"/>
      <c r="X200" s="30"/>
      <c r="Y200" s="30"/>
      <c r="Z200" s="30"/>
      <c r="AA200" s="30"/>
      <c r="AB200" s="34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s="39" customFormat="1" ht="21" customHeight="1">
      <c r="A201" s="32">
        <v>2</v>
      </c>
      <c r="B201" s="140"/>
      <c r="C201" s="106" t="str">
        <f>IF(A201="","VARA",VLOOKUP(A201,'[1]varas'!$A$4:$B$67,2))</f>
        <v>2ª VT Recife</v>
      </c>
      <c r="D201" s="29"/>
      <c r="E201" s="16"/>
      <c r="F201" s="15">
        <v>16</v>
      </c>
      <c r="G201" s="15">
        <v>21</v>
      </c>
      <c r="H201" s="15">
        <v>1</v>
      </c>
      <c r="I201" s="17">
        <f>SUM(F201:H201)</f>
        <v>38</v>
      </c>
      <c r="J201" s="15">
        <v>20</v>
      </c>
      <c r="K201" s="15">
        <v>1</v>
      </c>
      <c r="L201" s="15">
        <v>0</v>
      </c>
      <c r="M201" s="15">
        <v>0</v>
      </c>
      <c r="N201" s="15">
        <v>0</v>
      </c>
      <c r="O201" s="15">
        <v>5</v>
      </c>
      <c r="P201" s="15">
        <f>SUM(J201:O201)</f>
        <v>26</v>
      </c>
      <c r="Q201" s="15">
        <v>12</v>
      </c>
      <c r="R201" s="15">
        <v>0</v>
      </c>
      <c r="S201" s="15">
        <v>0</v>
      </c>
      <c r="T201" s="15">
        <v>0</v>
      </c>
      <c r="U201" s="15">
        <v>38</v>
      </c>
      <c r="V201" s="18"/>
      <c r="W201" s="18"/>
      <c r="X201" s="30"/>
      <c r="Y201" s="30"/>
      <c r="Z201" s="30"/>
      <c r="AA201" s="30"/>
      <c r="AB201" s="34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s="39" customFormat="1" ht="21" customHeight="1">
      <c r="A202" s="32">
        <v>15</v>
      </c>
      <c r="B202" s="140"/>
      <c r="C202" s="106" t="str">
        <f>IF(A202="","VARA",VLOOKUP(A202,'[1]varas'!$A$4:$B$67,2))</f>
        <v>15ª VT Recife</v>
      </c>
      <c r="D202" s="29"/>
      <c r="E202" s="16"/>
      <c r="F202" s="15">
        <v>8</v>
      </c>
      <c r="G202" s="15">
        <v>0</v>
      </c>
      <c r="H202" s="15">
        <v>0</v>
      </c>
      <c r="I202" s="17">
        <f>SUM(F202:H202)</f>
        <v>8</v>
      </c>
      <c r="J202" s="15">
        <v>0</v>
      </c>
      <c r="K202" s="15">
        <v>0</v>
      </c>
      <c r="L202" s="15">
        <v>0</v>
      </c>
      <c r="M202" s="15">
        <v>1</v>
      </c>
      <c r="N202" s="15">
        <v>0</v>
      </c>
      <c r="O202" s="15">
        <v>3</v>
      </c>
      <c r="P202" s="15">
        <f>SUM(J202:O202)</f>
        <v>4</v>
      </c>
      <c r="Q202" s="15">
        <v>2</v>
      </c>
      <c r="R202" s="15">
        <v>2</v>
      </c>
      <c r="S202" s="15">
        <v>0</v>
      </c>
      <c r="T202" s="15">
        <v>0</v>
      </c>
      <c r="U202" s="15">
        <v>16</v>
      </c>
      <c r="V202" s="18"/>
      <c r="W202" s="18"/>
      <c r="X202" s="30"/>
      <c r="Y202" s="30"/>
      <c r="Z202" s="30"/>
      <c r="AA202" s="30"/>
      <c r="AB202" s="34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s="39" customFormat="1" ht="24" customHeight="1">
      <c r="A203" s="32">
        <v>16</v>
      </c>
      <c r="B203" s="140"/>
      <c r="C203" s="106" t="str">
        <f>IF(A203="","VARA",VLOOKUP(A203,'[1]varas'!$A$4:$B$67,2))</f>
        <v>16ª VT Recife</v>
      </c>
      <c r="D203" s="29"/>
      <c r="E203" s="16"/>
      <c r="F203" s="15">
        <v>0</v>
      </c>
      <c r="G203" s="15">
        <v>4</v>
      </c>
      <c r="H203" s="15">
        <v>0</v>
      </c>
      <c r="I203" s="17">
        <f>SUM(F203:H203)</f>
        <v>4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f>SUM(J203:O203)</f>
        <v>0</v>
      </c>
      <c r="Q203" s="15">
        <v>0</v>
      </c>
      <c r="R203" s="15">
        <v>4</v>
      </c>
      <c r="S203" s="15">
        <v>0</v>
      </c>
      <c r="T203" s="15">
        <v>0</v>
      </c>
      <c r="U203" s="15">
        <v>0</v>
      </c>
      <c r="V203" s="18"/>
      <c r="W203" s="18"/>
      <c r="X203" s="30"/>
      <c r="Y203" s="30"/>
      <c r="Z203" s="30"/>
      <c r="AA203" s="30"/>
      <c r="AB203" s="34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s="39" customFormat="1" ht="22.5" customHeight="1">
      <c r="A204" s="32">
        <v>66</v>
      </c>
      <c r="B204" s="139"/>
      <c r="C204" s="106" t="s">
        <v>161</v>
      </c>
      <c r="D204" s="29"/>
      <c r="E204" s="16"/>
      <c r="F204" s="15">
        <v>0</v>
      </c>
      <c r="G204" s="15">
        <v>5</v>
      </c>
      <c r="H204" s="15">
        <v>0</v>
      </c>
      <c r="I204" s="17">
        <f>SUM(F204:H204)</f>
        <v>5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f>SUM(J204:O204)</f>
        <v>0</v>
      </c>
      <c r="Q204" s="15">
        <v>0</v>
      </c>
      <c r="R204" s="15">
        <v>5</v>
      </c>
      <c r="S204" s="15">
        <v>0</v>
      </c>
      <c r="T204" s="15">
        <v>0</v>
      </c>
      <c r="U204" s="15">
        <v>0</v>
      </c>
      <c r="V204" s="18"/>
      <c r="W204" s="18"/>
      <c r="X204" s="30"/>
      <c r="Y204" s="30"/>
      <c r="Z204" s="30"/>
      <c r="AA204" s="30"/>
      <c r="AB204" s="34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s="53" customFormat="1" ht="17.25" customHeight="1">
      <c r="A205" s="47"/>
      <c r="B205" s="135"/>
      <c r="C205" s="106" t="s">
        <v>12</v>
      </c>
      <c r="D205" s="24"/>
      <c r="E205" s="48"/>
      <c r="F205" s="24">
        <f>SUM(F200:F204)</f>
        <v>24</v>
      </c>
      <c r="G205" s="24">
        <f>SUM(G200:G204)</f>
        <v>30</v>
      </c>
      <c r="H205" s="24">
        <f>SUM(H200:H204)</f>
        <v>1</v>
      </c>
      <c r="I205" s="40">
        <f>SUM(F205:H205)</f>
        <v>55</v>
      </c>
      <c r="J205" s="24">
        <f aca="true" t="shared" si="59" ref="J205:O205">SUM(J200:J204)</f>
        <v>20</v>
      </c>
      <c r="K205" s="24">
        <f t="shared" si="59"/>
        <v>1</v>
      </c>
      <c r="L205" s="24">
        <f t="shared" si="59"/>
        <v>0</v>
      </c>
      <c r="M205" s="24">
        <f t="shared" si="59"/>
        <v>1</v>
      </c>
      <c r="N205" s="24">
        <f t="shared" si="59"/>
        <v>0</v>
      </c>
      <c r="O205" s="24">
        <f t="shared" si="59"/>
        <v>8</v>
      </c>
      <c r="P205" s="24">
        <f>SUM(J205:O205)</f>
        <v>30</v>
      </c>
      <c r="Q205" s="24">
        <f>SUM(Q200:Q204)</f>
        <v>14</v>
      </c>
      <c r="R205" s="24">
        <f>SUM(R200:R204)</f>
        <v>11</v>
      </c>
      <c r="S205" s="24">
        <f>SUM(S200:S204)</f>
        <v>0</v>
      </c>
      <c r="T205" s="24">
        <f>SUM(T200:T204)</f>
        <v>0</v>
      </c>
      <c r="U205" s="24">
        <f>SUM(U200:U204)</f>
        <v>54</v>
      </c>
      <c r="V205" s="26">
        <f>IF(I205-Q205=0,"",IF(D205="",(P205+S205)/(I205-Q205),IF(AND(D205&lt;&gt;"",(P205+S205)/(I205-Q205)&gt;=50%),(P205+S205)/(I205-Q205),"")))</f>
        <v>0.7317073170731707</v>
      </c>
      <c r="W205" s="26">
        <f>IF(I205=O205,"",IF(V205="",0,(P205+Q205+S205-O205)/(I205-O205)))</f>
        <v>0.7659574468085106</v>
      </c>
      <c r="X205" s="49"/>
      <c r="Y205" s="49"/>
      <c r="Z205" s="49"/>
      <c r="AA205" s="49"/>
      <c r="AB205" s="50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</row>
    <row r="206" spans="1:41" s="39" customFormat="1" ht="21.75" customHeight="1">
      <c r="A206" s="32"/>
      <c r="B206" s="130" t="s">
        <v>74</v>
      </c>
      <c r="C206" s="14" t="s">
        <v>156</v>
      </c>
      <c r="D206" s="29" t="s">
        <v>30</v>
      </c>
      <c r="E206" s="16" t="s">
        <v>197</v>
      </c>
      <c r="F206" s="15"/>
      <c r="G206" s="15"/>
      <c r="H206" s="15"/>
      <c r="I206" s="17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8"/>
      <c r="X206" s="30"/>
      <c r="Y206" s="30"/>
      <c r="Z206" s="30"/>
      <c r="AA206" s="30"/>
      <c r="AB206" s="34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s="39" customFormat="1" ht="21.75" customHeight="1">
      <c r="A207" s="32">
        <v>38</v>
      </c>
      <c r="B207" s="137"/>
      <c r="C207" s="20" t="str">
        <f>IF(A207="","VARA",VLOOKUP(A207,'[1]varas'!$A$4:$B$67,2))</f>
        <v>1ª VT Olinda</v>
      </c>
      <c r="D207" s="15"/>
      <c r="E207" s="16"/>
      <c r="F207" s="15">
        <v>0</v>
      </c>
      <c r="G207" s="15">
        <v>0</v>
      </c>
      <c r="H207" s="15">
        <v>2</v>
      </c>
      <c r="I207" s="17">
        <f>SUM(F207:H207)</f>
        <v>2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f>SUM(J207:O207)</f>
        <v>0</v>
      </c>
      <c r="Q207" s="15">
        <v>0</v>
      </c>
      <c r="R207" s="15">
        <v>2</v>
      </c>
      <c r="S207" s="15">
        <v>0</v>
      </c>
      <c r="T207" s="15">
        <v>0</v>
      </c>
      <c r="U207" s="15">
        <v>0</v>
      </c>
      <c r="V207" s="18"/>
      <c r="W207" s="18"/>
      <c r="X207" s="30"/>
      <c r="Y207" s="30"/>
      <c r="Z207" s="30"/>
      <c r="AA207" s="30"/>
      <c r="AB207" s="34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s="39" customFormat="1" ht="23.25" customHeight="1">
      <c r="A208" s="32">
        <v>39</v>
      </c>
      <c r="B208" s="137"/>
      <c r="C208" s="20" t="str">
        <f>IF(A208="","VARA",VLOOKUP(A208,'[1]varas'!$A$4:$B$67,2))</f>
        <v>2ª VT Olinda</v>
      </c>
      <c r="D208" s="15"/>
      <c r="E208" s="16"/>
      <c r="F208" s="15">
        <v>1</v>
      </c>
      <c r="G208" s="15">
        <v>0</v>
      </c>
      <c r="H208" s="15">
        <v>0</v>
      </c>
      <c r="I208" s="17">
        <f>SUM(F208:H208)</f>
        <v>1</v>
      </c>
      <c r="J208" s="15">
        <v>0</v>
      </c>
      <c r="K208" s="15">
        <v>0</v>
      </c>
      <c r="L208" s="15">
        <v>1</v>
      </c>
      <c r="M208" s="15">
        <v>0</v>
      </c>
      <c r="N208" s="15">
        <v>0</v>
      </c>
      <c r="O208" s="15">
        <v>0</v>
      </c>
      <c r="P208" s="15">
        <f>SUM(J208:O208)</f>
        <v>1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8"/>
      <c r="W208" s="18"/>
      <c r="X208" s="30"/>
      <c r="Y208" s="30"/>
      <c r="Z208" s="30"/>
      <c r="AA208" s="30"/>
      <c r="AB208" s="34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s="39" customFormat="1" ht="17.25" customHeight="1">
      <c r="A209" s="32">
        <v>40</v>
      </c>
      <c r="B209" s="137"/>
      <c r="C209" s="20" t="str">
        <f>IF(A209="","VARA",VLOOKUP(A209,'[1]varas'!$A$4:$B$67,2))</f>
        <v>3ª VT Olinda</v>
      </c>
      <c r="D209" s="15"/>
      <c r="E209" s="16"/>
      <c r="F209" s="15">
        <v>4</v>
      </c>
      <c r="G209" s="15">
        <v>0</v>
      </c>
      <c r="H209" s="15">
        <v>6</v>
      </c>
      <c r="I209" s="17">
        <f>SUM(F209:H209)</f>
        <v>10</v>
      </c>
      <c r="J209" s="15">
        <v>9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f>SUM(J209:O209)</f>
        <v>9</v>
      </c>
      <c r="Q209" s="15">
        <v>0</v>
      </c>
      <c r="R209" s="15">
        <v>1</v>
      </c>
      <c r="S209" s="15">
        <v>0</v>
      </c>
      <c r="T209" s="15">
        <v>0</v>
      </c>
      <c r="U209" s="15">
        <v>0</v>
      </c>
      <c r="V209" s="18"/>
      <c r="W209" s="18"/>
      <c r="X209" s="30"/>
      <c r="Y209" s="30"/>
      <c r="Z209" s="30"/>
      <c r="AA209" s="30"/>
      <c r="AB209" s="34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s="53" customFormat="1" ht="17.25" customHeight="1">
      <c r="A210" s="47"/>
      <c r="B210" s="137"/>
      <c r="C210" s="20" t="s">
        <v>12</v>
      </c>
      <c r="D210" s="24"/>
      <c r="E210" s="48"/>
      <c r="F210" s="24">
        <f>SUM(F206:F209)</f>
        <v>5</v>
      </c>
      <c r="G210" s="24">
        <f>SUM(G206:G209)</f>
        <v>0</v>
      </c>
      <c r="H210" s="24">
        <f>SUM(H206:H209)</f>
        <v>8</v>
      </c>
      <c r="I210" s="40">
        <f>SUM(F210:H210)</f>
        <v>13</v>
      </c>
      <c r="J210" s="24">
        <f aca="true" t="shared" si="60" ref="J210:O210">SUM(J206:J209)</f>
        <v>9</v>
      </c>
      <c r="K210" s="24">
        <f t="shared" si="60"/>
        <v>0</v>
      </c>
      <c r="L210" s="24">
        <f t="shared" si="60"/>
        <v>1</v>
      </c>
      <c r="M210" s="24">
        <f t="shared" si="60"/>
        <v>0</v>
      </c>
      <c r="N210" s="24">
        <f t="shared" si="60"/>
        <v>0</v>
      </c>
      <c r="O210" s="24">
        <f t="shared" si="60"/>
        <v>0</v>
      </c>
      <c r="P210" s="24">
        <f>SUM(J210:O210)</f>
        <v>10</v>
      </c>
      <c r="Q210" s="24">
        <f>SUM(Q206:Q209)</f>
        <v>0</v>
      </c>
      <c r="R210" s="24">
        <f>SUM(R206:R209)</f>
        <v>3</v>
      </c>
      <c r="S210" s="24">
        <f>SUM(S206:S209)</f>
        <v>0</v>
      </c>
      <c r="T210" s="24">
        <f>SUM(T206:T209)</f>
        <v>0</v>
      </c>
      <c r="U210" s="24">
        <f>SUM(U206:U209)</f>
        <v>0</v>
      </c>
      <c r="V210" s="26">
        <f>IF(I210-Q210=0,"",IF(D210="",(P210+S210)/(I210-Q210),IF(AND(D210&lt;&gt;"",(P210+S210)/(I210-Q210)&gt;=50%),(P210+S210)/(I210-Q210),"")))</f>
        <v>0.7692307692307693</v>
      </c>
      <c r="W210" s="26">
        <f>IF(I210=O210,"",IF(V210="",0,(P210+Q210+S210-O210)/(I210-O210)))</f>
        <v>0.7692307692307693</v>
      </c>
      <c r="X210" s="49"/>
      <c r="Y210" s="49"/>
      <c r="Z210" s="49"/>
      <c r="AA210" s="49"/>
      <c r="AB210" s="50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</row>
    <row r="211" spans="1:41" s="39" customFormat="1" ht="19.5" customHeight="1">
      <c r="A211" s="32"/>
      <c r="B211" s="137" t="s">
        <v>75</v>
      </c>
      <c r="C211" s="14" t="s">
        <v>2</v>
      </c>
      <c r="D211" s="29"/>
      <c r="E211" s="16" t="s">
        <v>27</v>
      </c>
      <c r="F211" s="15"/>
      <c r="G211" s="15"/>
      <c r="H211" s="15"/>
      <c r="I211" s="17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8"/>
      <c r="X211" s="30"/>
      <c r="Y211" s="30"/>
      <c r="Z211" s="30"/>
      <c r="AA211" s="30"/>
      <c r="AB211" s="34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s="39" customFormat="1" ht="21" customHeight="1">
      <c r="A212" s="32">
        <v>12</v>
      </c>
      <c r="B212" s="137"/>
      <c r="C212" s="20" t="str">
        <f>IF(A212="","VARA",VLOOKUP(A212,'[1]varas'!$A$4:$B$67,2))</f>
        <v>12ª VT Recife</v>
      </c>
      <c r="D212" s="15"/>
      <c r="E212" s="16"/>
      <c r="F212" s="15">
        <f>57+12+38</f>
        <v>107</v>
      </c>
      <c r="G212" s="15">
        <v>7</v>
      </c>
      <c r="H212" s="15">
        <v>24</v>
      </c>
      <c r="I212" s="17">
        <f>SUM(F212:H212)</f>
        <v>138</v>
      </c>
      <c r="J212" s="15">
        <v>22</v>
      </c>
      <c r="K212" s="15">
        <v>26</v>
      </c>
      <c r="L212" s="15">
        <v>0</v>
      </c>
      <c r="M212" s="15">
        <v>36</v>
      </c>
      <c r="N212" s="15">
        <v>2</v>
      </c>
      <c r="O212" s="15">
        <v>12</v>
      </c>
      <c r="P212" s="15">
        <f>SUM(J212:O212)</f>
        <v>98</v>
      </c>
      <c r="Q212" s="15">
        <v>13</v>
      </c>
      <c r="R212" s="15">
        <v>26</v>
      </c>
      <c r="S212" s="15">
        <v>0</v>
      </c>
      <c r="T212" s="15">
        <v>1</v>
      </c>
      <c r="U212" s="15">
        <v>102</v>
      </c>
      <c r="V212" s="18"/>
      <c r="W212" s="18"/>
      <c r="X212" s="30"/>
      <c r="Y212" s="30"/>
      <c r="Z212" s="30"/>
      <c r="AA212" s="30"/>
      <c r="AB212" s="34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s="39" customFormat="1" ht="21" customHeight="1">
      <c r="A213" s="32"/>
      <c r="B213" s="131"/>
      <c r="C213" s="21" t="s">
        <v>12</v>
      </c>
      <c r="D213" s="33"/>
      <c r="E213" s="23"/>
      <c r="F213" s="24">
        <f>SUM(F211:F212)</f>
        <v>107</v>
      </c>
      <c r="G213" s="24">
        <f>SUM(G211:G212)</f>
        <v>7</v>
      </c>
      <c r="H213" s="24">
        <f>SUM(H211:H212)</f>
        <v>24</v>
      </c>
      <c r="I213" s="40">
        <f>SUM(F213:H213)</f>
        <v>138</v>
      </c>
      <c r="J213" s="24">
        <f aca="true" t="shared" si="61" ref="J213:O213">SUM(J211:J212)</f>
        <v>22</v>
      </c>
      <c r="K213" s="24">
        <f t="shared" si="61"/>
        <v>26</v>
      </c>
      <c r="L213" s="24">
        <f t="shared" si="61"/>
        <v>0</v>
      </c>
      <c r="M213" s="24">
        <f t="shared" si="61"/>
        <v>36</v>
      </c>
      <c r="N213" s="24">
        <f t="shared" si="61"/>
        <v>2</v>
      </c>
      <c r="O213" s="24">
        <f t="shared" si="61"/>
        <v>12</v>
      </c>
      <c r="P213" s="24">
        <f>SUM(J213:O213)</f>
        <v>98</v>
      </c>
      <c r="Q213" s="24">
        <f>SUM(Q211:Q212)</f>
        <v>13</v>
      </c>
      <c r="R213" s="24">
        <f>SUM(R211:R212)</f>
        <v>26</v>
      </c>
      <c r="S213" s="24">
        <f>SUM(S211:S212)</f>
        <v>0</v>
      </c>
      <c r="T213" s="24">
        <f>SUM(T211:T212)</f>
        <v>1</v>
      </c>
      <c r="U213" s="24">
        <f>SUM(U211:U212)</f>
        <v>102</v>
      </c>
      <c r="V213" s="26">
        <f>IF(I213-Q213=0,"",IF(D213="",(P213+S213)/(I213-Q213),IF(AND(D213&lt;&gt;"",(P213+S213)/(I213-Q213)&gt;=50%),(P213+S213)/(I213-Q213),"")))</f>
        <v>0.784</v>
      </c>
      <c r="W213" s="26">
        <f>IF(I213=O213,"",IF(V213="",0,(P213+Q213+S213-O213)/(I213-O213)))</f>
        <v>0.7857142857142857</v>
      </c>
      <c r="X213" s="30"/>
      <c r="Y213" s="30"/>
      <c r="Z213" s="30"/>
      <c r="AA213" s="30"/>
      <c r="AB213" s="34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s="39" customFormat="1" ht="21" customHeight="1">
      <c r="A214" s="32"/>
      <c r="B214" s="138" t="s">
        <v>76</v>
      </c>
      <c r="C214" s="105" t="s">
        <v>156</v>
      </c>
      <c r="D214" s="29" t="s">
        <v>186</v>
      </c>
      <c r="E214" s="16" t="s">
        <v>211</v>
      </c>
      <c r="F214" s="15"/>
      <c r="G214" s="15"/>
      <c r="H214" s="15"/>
      <c r="I214" s="17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8"/>
      <c r="X214" s="30"/>
      <c r="Y214" s="30"/>
      <c r="Z214" s="30"/>
      <c r="AA214" s="30"/>
      <c r="AB214" s="34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s="39" customFormat="1" ht="22.5" customHeight="1">
      <c r="A215" s="32">
        <v>5</v>
      </c>
      <c r="B215" s="139"/>
      <c r="C215" s="106" t="str">
        <f>IF(A215="","VARA",VLOOKUP(A215,'[1]varas'!$A$4:$B$67,2))</f>
        <v>5ª VT Recife</v>
      </c>
      <c r="D215" s="15"/>
      <c r="E215" s="16"/>
      <c r="F215" s="15">
        <v>0</v>
      </c>
      <c r="G215" s="15">
        <v>0</v>
      </c>
      <c r="H215" s="15">
        <v>1</v>
      </c>
      <c r="I215" s="17">
        <f aca="true" t="shared" si="62" ref="I215:I224">SUM(F215:H215)</f>
        <v>1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f aca="true" t="shared" si="63" ref="P215:P224">SUM(J215:O215)</f>
        <v>0</v>
      </c>
      <c r="Q215" s="15">
        <v>0</v>
      </c>
      <c r="R215" s="15">
        <v>1</v>
      </c>
      <c r="S215" s="15">
        <v>0</v>
      </c>
      <c r="T215" s="15">
        <v>0</v>
      </c>
      <c r="U215" s="15">
        <v>0</v>
      </c>
      <c r="V215" s="18"/>
      <c r="W215" s="18"/>
      <c r="X215" s="30"/>
      <c r="Y215" s="30"/>
      <c r="Z215" s="30"/>
      <c r="AA215" s="30"/>
      <c r="AB215" s="34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s="39" customFormat="1" ht="22.5" customHeight="1">
      <c r="A216" s="32">
        <v>16</v>
      </c>
      <c r="B216" s="139"/>
      <c r="C216" s="106" t="str">
        <f>IF(A216="","VARA",VLOOKUP(A216,'[1]varas'!$A$4:$B$67,2))</f>
        <v>16ª VT Recife</v>
      </c>
      <c r="D216" s="15"/>
      <c r="E216" s="16"/>
      <c r="F216" s="15">
        <v>0</v>
      </c>
      <c r="G216" s="15">
        <v>0</v>
      </c>
      <c r="H216" s="15">
        <v>2</v>
      </c>
      <c r="I216" s="17">
        <f t="shared" si="62"/>
        <v>2</v>
      </c>
      <c r="J216" s="15">
        <v>1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f t="shared" si="63"/>
        <v>1</v>
      </c>
      <c r="Q216" s="15">
        <v>0</v>
      </c>
      <c r="R216" s="15">
        <v>1</v>
      </c>
      <c r="S216" s="15">
        <v>0</v>
      </c>
      <c r="T216" s="15">
        <v>0</v>
      </c>
      <c r="U216" s="15">
        <v>0</v>
      </c>
      <c r="V216" s="18"/>
      <c r="W216" s="18"/>
      <c r="X216" s="30"/>
      <c r="Y216" s="30"/>
      <c r="Z216" s="30"/>
      <c r="AA216" s="30"/>
      <c r="AB216" s="34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s="39" customFormat="1" ht="22.5" customHeight="1">
      <c r="A217" s="32">
        <v>22</v>
      </c>
      <c r="B217" s="139"/>
      <c r="C217" s="106" t="str">
        <f>IF(A217="","VARA",VLOOKUP(A217,'[1]varas'!$A$4:$B$67,2))</f>
        <v>22ª VT Recife</v>
      </c>
      <c r="D217" s="15"/>
      <c r="E217" s="16"/>
      <c r="F217" s="15">
        <v>0</v>
      </c>
      <c r="G217" s="15">
        <v>0</v>
      </c>
      <c r="H217" s="15">
        <v>1</v>
      </c>
      <c r="I217" s="17">
        <f>SUM(F217:H217)</f>
        <v>1</v>
      </c>
      <c r="J217" s="15">
        <v>1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f>SUM(J217:O217)</f>
        <v>1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8"/>
      <c r="W217" s="18"/>
      <c r="X217" s="30"/>
      <c r="Y217" s="30"/>
      <c r="Z217" s="30"/>
      <c r="AA217" s="30"/>
      <c r="AB217" s="34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s="39" customFormat="1" ht="21" customHeight="1">
      <c r="A218" s="32">
        <v>27</v>
      </c>
      <c r="B218" s="139"/>
      <c r="C218" s="106" t="str">
        <f>IF(A218="","VARA",VLOOKUP(A218,'[1]varas'!$A$4:$B$67,2))</f>
        <v>2ª VT Cabo</v>
      </c>
      <c r="D218" s="15"/>
      <c r="E218" s="16"/>
      <c r="F218" s="15">
        <v>0</v>
      </c>
      <c r="G218" s="15">
        <v>0</v>
      </c>
      <c r="H218" s="15">
        <v>15</v>
      </c>
      <c r="I218" s="17">
        <f t="shared" si="62"/>
        <v>15</v>
      </c>
      <c r="J218" s="15">
        <v>6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f t="shared" si="63"/>
        <v>6</v>
      </c>
      <c r="Q218" s="15">
        <v>0</v>
      </c>
      <c r="R218" s="15">
        <v>8</v>
      </c>
      <c r="S218" s="15">
        <v>0</v>
      </c>
      <c r="T218" s="15">
        <v>1</v>
      </c>
      <c r="U218" s="15">
        <v>0</v>
      </c>
      <c r="V218" s="18"/>
      <c r="W218" s="18"/>
      <c r="X218" s="30"/>
      <c r="Y218" s="30"/>
      <c r="Z218" s="30"/>
      <c r="AA218" s="30"/>
      <c r="AB218" s="34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s="39" customFormat="1" ht="21" customHeight="1">
      <c r="A219" s="32">
        <v>47</v>
      </c>
      <c r="B219" s="139"/>
      <c r="C219" s="106" t="str">
        <f>IF(A219="","VARA",VLOOKUP(A219,'[1]varas'!$A$4:$B$67,2))</f>
        <v>VT Carpina</v>
      </c>
      <c r="D219" s="15"/>
      <c r="E219" s="16"/>
      <c r="F219" s="15">
        <v>0</v>
      </c>
      <c r="G219" s="15">
        <v>0</v>
      </c>
      <c r="H219" s="15">
        <v>2</v>
      </c>
      <c r="I219" s="17">
        <f>SUM(F219:H219)</f>
        <v>2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f>SUM(J219:O219)</f>
        <v>0</v>
      </c>
      <c r="Q219" s="15">
        <v>0</v>
      </c>
      <c r="R219" s="15">
        <v>2</v>
      </c>
      <c r="S219" s="15">
        <v>0</v>
      </c>
      <c r="T219" s="15">
        <v>0</v>
      </c>
      <c r="U219" s="15">
        <v>0</v>
      </c>
      <c r="V219" s="18"/>
      <c r="W219" s="18"/>
      <c r="X219" s="30"/>
      <c r="Y219" s="30"/>
      <c r="Z219" s="30"/>
      <c r="AA219" s="30"/>
      <c r="AB219" s="34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s="39" customFormat="1" ht="21" customHeight="1">
      <c r="A220" s="32">
        <v>48</v>
      </c>
      <c r="B220" s="139"/>
      <c r="C220" s="106" t="str">
        <f>IF(A220="","VARA",VLOOKUP(A220,'[1]varas'!$A$4:$B$67,2))</f>
        <v>VT Catende</v>
      </c>
      <c r="D220" s="15"/>
      <c r="E220" s="16"/>
      <c r="F220" s="15">
        <v>0</v>
      </c>
      <c r="G220" s="15">
        <v>0</v>
      </c>
      <c r="H220" s="15">
        <v>1</v>
      </c>
      <c r="I220" s="17">
        <f>SUM(F220:H220)</f>
        <v>1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f>SUM(J220:O220)</f>
        <v>0</v>
      </c>
      <c r="Q220" s="15">
        <v>0</v>
      </c>
      <c r="R220" s="15">
        <v>1</v>
      </c>
      <c r="S220" s="15">
        <v>0</v>
      </c>
      <c r="T220" s="15">
        <v>0</v>
      </c>
      <c r="U220" s="15">
        <v>0</v>
      </c>
      <c r="V220" s="18"/>
      <c r="W220" s="18"/>
      <c r="X220" s="30"/>
      <c r="Y220" s="30"/>
      <c r="Z220" s="30"/>
      <c r="AA220" s="30"/>
      <c r="AB220" s="34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s="39" customFormat="1" ht="21" customHeight="1">
      <c r="A221" s="32">
        <v>52</v>
      </c>
      <c r="B221" s="139"/>
      <c r="C221" s="106" t="str">
        <f>IF(A221="","VARA",VLOOKUP(A221,'[1]varas'!$A$4:$B$67,2))</f>
        <v>VT Limoeiro</v>
      </c>
      <c r="D221" s="15"/>
      <c r="E221" s="16"/>
      <c r="F221" s="15">
        <v>0</v>
      </c>
      <c r="G221" s="15">
        <v>0</v>
      </c>
      <c r="H221" s="15">
        <v>4</v>
      </c>
      <c r="I221" s="17">
        <f t="shared" si="62"/>
        <v>4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f t="shared" si="63"/>
        <v>0</v>
      </c>
      <c r="Q221" s="15">
        <v>0</v>
      </c>
      <c r="R221" s="15">
        <v>4</v>
      </c>
      <c r="S221" s="15">
        <v>0</v>
      </c>
      <c r="T221" s="15">
        <v>0</v>
      </c>
      <c r="U221" s="15">
        <v>0</v>
      </c>
      <c r="V221" s="18"/>
      <c r="W221" s="18"/>
      <c r="X221" s="30"/>
      <c r="Y221" s="30"/>
      <c r="Z221" s="30"/>
      <c r="AA221" s="30"/>
      <c r="AB221" s="34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s="39" customFormat="1" ht="21" customHeight="1">
      <c r="A222" s="32">
        <v>64</v>
      </c>
      <c r="B222" s="139"/>
      <c r="C222" s="106" t="str">
        <f>IF(A222="","VARA",VLOOKUP(A222,'[1]varas'!$A$4:$B$67,2))</f>
        <v>PAJT Surubim</v>
      </c>
      <c r="D222" s="15"/>
      <c r="E222" s="16"/>
      <c r="F222" s="15">
        <v>0</v>
      </c>
      <c r="G222" s="15">
        <v>7</v>
      </c>
      <c r="H222" s="15">
        <v>0</v>
      </c>
      <c r="I222" s="17">
        <f>SUM(F222:H222)</f>
        <v>7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f>SUM(J222:O222)</f>
        <v>0</v>
      </c>
      <c r="Q222" s="15">
        <v>0</v>
      </c>
      <c r="R222" s="15">
        <v>7</v>
      </c>
      <c r="S222" s="15">
        <v>0</v>
      </c>
      <c r="T222" s="15">
        <v>0</v>
      </c>
      <c r="U222" s="15">
        <v>0</v>
      </c>
      <c r="V222" s="18"/>
      <c r="W222" s="18"/>
      <c r="X222" s="30"/>
      <c r="Y222" s="30"/>
      <c r="Z222" s="30"/>
      <c r="AA222" s="30"/>
      <c r="AB222" s="34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s="39" customFormat="1" ht="21" customHeight="1">
      <c r="A223" s="32">
        <v>51</v>
      </c>
      <c r="B223" s="139"/>
      <c r="C223" s="106" t="str">
        <f>IF(A223="","VARA",VLOOKUP(A223,'[1]varas'!$A$4:$B$67,2))</f>
        <v>VT Goiana</v>
      </c>
      <c r="D223" s="15"/>
      <c r="E223" s="16"/>
      <c r="F223" s="15">
        <f>35+5+3+5</f>
        <v>48</v>
      </c>
      <c r="G223" s="15">
        <v>0</v>
      </c>
      <c r="H223" s="15">
        <v>22</v>
      </c>
      <c r="I223" s="17">
        <f t="shared" si="62"/>
        <v>70</v>
      </c>
      <c r="J223" s="15">
        <v>16</v>
      </c>
      <c r="K223" s="15">
        <v>6</v>
      </c>
      <c r="L223" s="15">
        <v>3</v>
      </c>
      <c r="M223" s="15">
        <v>5</v>
      </c>
      <c r="N223" s="15">
        <v>0</v>
      </c>
      <c r="O223" s="15">
        <v>5</v>
      </c>
      <c r="P223" s="15">
        <f t="shared" si="63"/>
        <v>35</v>
      </c>
      <c r="Q223" s="15">
        <v>22</v>
      </c>
      <c r="R223" s="15">
        <v>13</v>
      </c>
      <c r="S223" s="15">
        <v>0</v>
      </c>
      <c r="T223" s="15">
        <v>0</v>
      </c>
      <c r="U223" s="15">
        <v>100</v>
      </c>
      <c r="V223" s="18"/>
      <c r="W223" s="18"/>
      <c r="X223" s="30"/>
      <c r="Y223" s="30"/>
      <c r="Z223" s="30"/>
      <c r="AA223" s="30"/>
      <c r="AB223" s="34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</row>
    <row r="224" spans="1:41" s="53" customFormat="1" ht="16.5" customHeight="1">
      <c r="A224" s="47"/>
      <c r="B224" s="135"/>
      <c r="C224" s="106" t="s">
        <v>12</v>
      </c>
      <c r="D224" s="24"/>
      <c r="E224" s="48"/>
      <c r="F224" s="24">
        <f>SUM(F214:F223)</f>
        <v>48</v>
      </c>
      <c r="G224" s="24">
        <f>SUM(G214:G223)</f>
        <v>7</v>
      </c>
      <c r="H224" s="24">
        <f>SUM(H214:H223)</f>
        <v>48</v>
      </c>
      <c r="I224" s="40">
        <f t="shared" si="62"/>
        <v>103</v>
      </c>
      <c r="J224" s="24">
        <f aca="true" t="shared" si="64" ref="J224:O224">SUM(J214:J223)</f>
        <v>24</v>
      </c>
      <c r="K224" s="24">
        <f t="shared" si="64"/>
        <v>6</v>
      </c>
      <c r="L224" s="24">
        <f t="shared" si="64"/>
        <v>3</v>
      </c>
      <c r="M224" s="24">
        <f t="shared" si="64"/>
        <v>5</v>
      </c>
      <c r="N224" s="24">
        <f t="shared" si="64"/>
        <v>0</v>
      </c>
      <c r="O224" s="24">
        <f t="shared" si="64"/>
        <v>5</v>
      </c>
      <c r="P224" s="24">
        <f t="shared" si="63"/>
        <v>43</v>
      </c>
      <c r="Q224" s="24">
        <f>SUM(Q214:Q223)</f>
        <v>22</v>
      </c>
      <c r="R224" s="24">
        <f>SUM(R214:R223)</f>
        <v>37</v>
      </c>
      <c r="S224" s="24">
        <f>SUM(S214:S223)</f>
        <v>0</v>
      </c>
      <c r="T224" s="24">
        <f>SUM(T214:T223)</f>
        <v>1</v>
      </c>
      <c r="U224" s="24">
        <f>SUM(U214:U223)</f>
        <v>100</v>
      </c>
      <c r="V224" s="26">
        <f>IF(I224-Q224=0,"",IF(D224="",(P224+S224)/(I224-Q224),IF(AND(D224&lt;&gt;"",(P224+S224)/(I224-Q224)&gt;=50%),(P224+S224)/(I224-Q224),"")))</f>
        <v>0.5308641975308642</v>
      </c>
      <c r="W224" s="26">
        <f>IF(I224=O224,"",IF(V224="",0,(P224+Q224+S224-O224)/(I224-O224)))</f>
        <v>0.6122448979591837</v>
      </c>
      <c r="X224" s="49"/>
      <c r="Y224" s="49"/>
      <c r="Z224" s="49"/>
      <c r="AA224" s="49"/>
      <c r="AB224" s="50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</row>
    <row r="225" spans="1:41" s="39" customFormat="1" ht="26.25" customHeight="1">
      <c r="A225" s="32"/>
      <c r="B225" s="138" t="s">
        <v>77</v>
      </c>
      <c r="C225" s="105" t="s">
        <v>2</v>
      </c>
      <c r="D225" s="29" t="s">
        <v>200</v>
      </c>
      <c r="E225" s="16" t="s">
        <v>212</v>
      </c>
      <c r="F225" s="15"/>
      <c r="G225" s="15"/>
      <c r="H225" s="15"/>
      <c r="I225" s="17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8"/>
      <c r="X225" s="30"/>
      <c r="Y225" s="30"/>
      <c r="Z225" s="30"/>
      <c r="AA225" s="30"/>
      <c r="AB225" s="34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</row>
    <row r="226" spans="1:41" s="39" customFormat="1" ht="21.75" customHeight="1">
      <c r="A226" s="32">
        <v>66</v>
      </c>
      <c r="B226" s="139"/>
      <c r="C226" s="106" t="s">
        <v>161</v>
      </c>
      <c r="D226" s="15"/>
      <c r="E226" s="16"/>
      <c r="F226" s="15">
        <v>0</v>
      </c>
      <c r="G226" s="15">
        <v>0</v>
      </c>
      <c r="H226" s="15">
        <v>0</v>
      </c>
      <c r="I226" s="17">
        <f>SUM(F226:H226)</f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f>SUM(J226:O226)</f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8"/>
      <c r="W226" s="18"/>
      <c r="X226" s="30"/>
      <c r="Y226" s="30"/>
      <c r="Z226" s="30"/>
      <c r="AA226" s="30"/>
      <c r="AB226" s="34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</row>
    <row r="227" spans="1:41" s="53" customFormat="1" ht="18" customHeight="1">
      <c r="A227" s="47"/>
      <c r="B227" s="135"/>
      <c r="C227" s="107" t="s">
        <v>12</v>
      </c>
      <c r="D227" s="51"/>
      <c r="E227" s="52"/>
      <c r="F227" s="24">
        <f>SUM(F225:F226)</f>
        <v>0</v>
      </c>
      <c r="G227" s="24">
        <f>SUM(G225:G226)</f>
        <v>0</v>
      </c>
      <c r="H227" s="24">
        <f>SUM(H225:H226)</f>
        <v>0</v>
      </c>
      <c r="I227" s="25">
        <f>SUM(F227:H227)</f>
        <v>0</v>
      </c>
      <c r="J227" s="24">
        <f aca="true" t="shared" si="65" ref="J227:O227">SUM(J225:J226)</f>
        <v>0</v>
      </c>
      <c r="K227" s="24">
        <f t="shared" si="65"/>
        <v>0</v>
      </c>
      <c r="L227" s="24">
        <f t="shared" si="65"/>
        <v>0</v>
      </c>
      <c r="M227" s="24">
        <f t="shared" si="65"/>
        <v>0</v>
      </c>
      <c r="N227" s="24">
        <f t="shared" si="65"/>
        <v>0</v>
      </c>
      <c r="O227" s="24">
        <f t="shared" si="65"/>
        <v>0</v>
      </c>
      <c r="P227" s="24">
        <f>SUM(J227:O227)</f>
        <v>0</v>
      </c>
      <c r="Q227" s="24">
        <f>SUM(Q225:Q226)</f>
        <v>0</v>
      </c>
      <c r="R227" s="24">
        <f>SUM(R225:R226)</f>
        <v>0</v>
      </c>
      <c r="S227" s="24">
        <f>SUM(S225:S226)</f>
        <v>0</v>
      </c>
      <c r="T227" s="24">
        <f>SUM(T225:T226)</f>
        <v>0</v>
      </c>
      <c r="U227" s="24">
        <f>SUM(U225:U226)</f>
        <v>0</v>
      </c>
      <c r="V227" s="26">
        <f>IF(I227-Q227=0,"",IF(D227="",(P227+S227)/(I227-Q227),IF(AND(D227&lt;&gt;"",(P227+S227)/(I227-Q227)&gt;=50%),(P227+S227)/(I227-Q227),"")))</f>
      </c>
      <c r="W227" s="26">
        <f>IF(I227=O227,"",IF(V227="",0,(P227+Q227+S227-O227)/(I227-O227)))</f>
      </c>
      <c r="X227" s="49"/>
      <c r="Y227" s="49"/>
      <c r="Z227" s="49"/>
      <c r="AA227" s="49"/>
      <c r="AB227" s="50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</row>
    <row r="228" spans="1:41" s="39" customFormat="1" ht="24" customHeight="1">
      <c r="A228" s="32"/>
      <c r="B228" s="138" t="s">
        <v>78</v>
      </c>
      <c r="C228" s="105" t="s">
        <v>2</v>
      </c>
      <c r="D228" s="29"/>
      <c r="E228" s="16" t="s">
        <v>27</v>
      </c>
      <c r="F228" s="15"/>
      <c r="G228" s="15"/>
      <c r="H228" s="15"/>
      <c r="I228" s="17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8"/>
      <c r="X228" s="30"/>
      <c r="Y228" s="30"/>
      <c r="Z228" s="30"/>
      <c r="AA228" s="30"/>
      <c r="AB228" s="34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</row>
    <row r="229" spans="1:41" s="39" customFormat="1" ht="20.25" customHeight="1">
      <c r="A229" s="32">
        <v>29</v>
      </c>
      <c r="B229" s="139"/>
      <c r="C229" s="106" t="str">
        <f>IF(A229="","VARA",VLOOKUP(A229,'[1]varas'!$A$4:$B$67,2))</f>
        <v>2ª VT Caruaru</v>
      </c>
      <c r="D229" s="15"/>
      <c r="E229" s="16"/>
      <c r="F229" s="15">
        <f>31+40+4+1</f>
        <v>76</v>
      </c>
      <c r="G229" s="15">
        <v>0</v>
      </c>
      <c r="H229" s="15">
        <v>7</v>
      </c>
      <c r="I229" s="17">
        <f>SUM(F229:H229)</f>
        <v>83</v>
      </c>
      <c r="J229" s="15">
        <v>17</v>
      </c>
      <c r="K229" s="15">
        <v>14</v>
      </c>
      <c r="L229" s="15">
        <v>4</v>
      </c>
      <c r="M229" s="15">
        <v>0</v>
      </c>
      <c r="N229" s="15">
        <v>1</v>
      </c>
      <c r="O229" s="15">
        <v>40</v>
      </c>
      <c r="P229" s="15">
        <f>SUM(J229:O229)</f>
        <v>76</v>
      </c>
      <c r="Q229" s="15">
        <v>5</v>
      </c>
      <c r="R229" s="15">
        <v>0</v>
      </c>
      <c r="S229" s="15">
        <v>0</v>
      </c>
      <c r="T229" s="15">
        <v>2</v>
      </c>
      <c r="U229" s="15">
        <v>154</v>
      </c>
      <c r="V229" s="18"/>
      <c r="W229" s="18"/>
      <c r="X229" s="30"/>
      <c r="Y229" s="30"/>
      <c r="Z229" s="30"/>
      <c r="AA229" s="30"/>
      <c r="AB229" s="34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</row>
    <row r="230" spans="1:41" s="53" customFormat="1" ht="20.25" customHeight="1">
      <c r="A230" s="47"/>
      <c r="B230" s="135"/>
      <c r="C230" s="107" t="s">
        <v>12</v>
      </c>
      <c r="D230" s="51"/>
      <c r="E230" s="52"/>
      <c r="F230" s="24">
        <f>SUM(F228:F229)</f>
        <v>76</v>
      </c>
      <c r="G230" s="24">
        <f>SUM(G228:G229)</f>
        <v>0</v>
      </c>
      <c r="H230" s="24">
        <f>SUM(H228:H229)</f>
        <v>7</v>
      </c>
      <c r="I230" s="25">
        <f>SUM(F230:H230)</f>
        <v>83</v>
      </c>
      <c r="J230" s="24">
        <f aca="true" t="shared" si="66" ref="J230:O230">SUM(J228:J229)</f>
        <v>17</v>
      </c>
      <c r="K230" s="24">
        <f t="shared" si="66"/>
        <v>14</v>
      </c>
      <c r="L230" s="24">
        <f t="shared" si="66"/>
        <v>4</v>
      </c>
      <c r="M230" s="24">
        <f t="shared" si="66"/>
        <v>0</v>
      </c>
      <c r="N230" s="24">
        <f t="shared" si="66"/>
        <v>1</v>
      </c>
      <c r="O230" s="24">
        <f t="shared" si="66"/>
        <v>40</v>
      </c>
      <c r="P230" s="24">
        <f>SUM(J230:O230)</f>
        <v>76</v>
      </c>
      <c r="Q230" s="24">
        <f>SUM(Q228:Q229)</f>
        <v>5</v>
      </c>
      <c r="R230" s="24">
        <f>SUM(R228:R229)</f>
        <v>0</v>
      </c>
      <c r="S230" s="24">
        <f>SUM(S228:S229)</f>
        <v>0</v>
      </c>
      <c r="T230" s="24">
        <f>SUM(T228:T229)</f>
        <v>2</v>
      </c>
      <c r="U230" s="24">
        <f>SUM(U228:U229)</f>
        <v>154</v>
      </c>
      <c r="V230" s="26">
        <f>IF(I230-Q230=0,"",IF(D230="",(P230+S230)/(I230-Q230),IF(AND(D230&lt;&gt;"",(P230+S230)/(I230-Q230)&gt;=50%),(P230+S230)/(I230-Q230),"")))</f>
        <v>0.9743589743589743</v>
      </c>
      <c r="W230" s="26">
        <f>IF(I230=O230,"",IF(V230="",0,(P230+Q230+S230-O230)/(I230-O230)))</f>
        <v>0.9534883720930233</v>
      </c>
      <c r="X230" s="49"/>
      <c r="Y230" s="49"/>
      <c r="Z230" s="49"/>
      <c r="AA230" s="49"/>
      <c r="AB230" s="50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</row>
    <row r="231" spans="1:41" s="39" customFormat="1" ht="21" customHeight="1">
      <c r="A231" s="32"/>
      <c r="B231" s="130" t="s">
        <v>79</v>
      </c>
      <c r="C231" s="14" t="s">
        <v>2</v>
      </c>
      <c r="D231" s="29" t="s">
        <v>30</v>
      </c>
      <c r="E231" s="16" t="s">
        <v>208</v>
      </c>
      <c r="F231" s="15"/>
      <c r="G231" s="15"/>
      <c r="H231" s="15"/>
      <c r="I231" s="17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8"/>
      <c r="X231" s="30"/>
      <c r="Y231" s="30"/>
      <c r="Z231" s="30"/>
      <c r="AA231" s="30"/>
      <c r="AB231" s="34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</row>
    <row r="232" spans="1:41" s="39" customFormat="1" ht="18.75" customHeight="1">
      <c r="A232" s="32">
        <v>32</v>
      </c>
      <c r="B232" s="137"/>
      <c r="C232" s="20" t="str">
        <f>IF(A232="","VARA",VLOOKUP(A232,'[1]varas'!$A$4:$B$67,2))</f>
        <v>1ª VT Ipojuca</v>
      </c>
      <c r="D232" s="15"/>
      <c r="E232" s="16"/>
      <c r="F232" s="15">
        <v>23</v>
      </c>
      <c r="G232" s="15">
        <v>4</v>
      </c>
      <c r="H232" s="15">
        <v>4</v>
      </c>
      <c r="I232" s="17">
        <f>SUM(F232:H232)</f>
        <v>31</v>
      </c>
      <c r="J232" s="15">
        <v>17</v>
      </c>
      <c r="K232" s="15">
        <v>5</v>
      </c>
      <c r="L232" s="15">
        <v>0</v>
      </c>
      <c r="M232" s="15">
        <v>0</v>
      </c>
      <c r="N232" s="15">
        <v>0</v>
      </c>
      <c r="O232" s="15">
        <v>2</v>
      </c>
      <c r="P232" s="15">
        <f>SUM(J232:O232)</f>
        <v>24</v>
      </c>
      <c r="Q232" s="15">
        <v>4</v>
      </c>
      <c r="R232" s="15">
        <v>3</v>
      </c>
      <c r="S232" s="15">
        <v>0</v>
      </c>
      <c r="T232" s="15">
        <v>0</v>
      </c>
      <c r="U232" s="15">
        <v>7</v>
      </c>
      <c r="V232" s="18"/>
      <c r="W232" s="18"/>
      <c r="X232" s="30"/>
      <c r="Y232" s="30"/>
      <c r="Z232" s="30"/>
      <c r="AA232" s="30"/>
      <c r="AB232" s="34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</row>
    <row r="233" spans="1:41" s="39" customFormat="1" ht="22.5" customHeight="1">
      <c r="A233" s="32"/>
      <c r="B233" s="137"/>
      <c r="C233" s="21" t="s">
        <v>12</v>
      </c>
      <c r="D233" s="33"/>
      <c r="E233" s="23"/>
      <c r="F233" s="24">
        <f>SUM(F231:F232)</f>
        <v>23</v>
      </c>
      <c r="G233" s="24">
        <f>SUM(G231:G232)</f>
        <v>4</v>
      </c>
      <c r="H233" s="24">
        <f>SUM(H231:H232)</f>
        <v>4</v>
      </c>
      <c r="I233" s="40">
        <f>SUM(F233:H233)</f>
        <v>31</v>
      </c>
      <c r="J233" s="24">
        <f aca="true" t="shared" si="67" ref="J233:O233">SUM(J231:J232)</f>
        <v>17</v>
      </c>
      <c r="K233" s="24">
        <f t="shared" si="67"/>
        <v>5</v>
      </c>
      <c r="L233" s="24">
        <f t="shared" si="67"/>
        <v>0</v>
      </c>
      <c r="M233" s="24">
        <f t="shared" si="67"/>
        <v>0</v>
      </c>
      <c r="N233" s="24">
        <f t="shared" si="67"/>
        <v>0</v>
      </c>
      <c r="O233" s="24">
        <f t="shared" si="67"/>
        <v>2</v>
      </c>
      <c r="P233" s="24">
        <f>SUM(J233:O233)</f>
        <v>24</v>
      </c>
      <c r="Q233" s="24">
        <f>SUM(Q231:Q232)</f>
        <v>4</v>
      </c>
      <c r="R233" s="24">
        <f>SUM(R231:R232)</f>
        <v>3</v>
      </c>
      <c r="S233" s="24">
        <f>SUM(S231:S232)</f>
        <v>0</v>
      </c>
      <c r="T233" s="24">
        <f>SUM(T231:T232)</f>
        <v>0</v>
      </c>
      <c r="U233" s="24">
        <f>SUM(U231:U232)</f>
        <v>7</v>
      </c>
      <c r="V233" s="26">
        <f>IF(I233-Q233=0,"",IF(D233="",(P233+S233)/(I233-Q233),IF(AND(D233&lt;&gt;"",(P233+S233)/(I233-Q233)&gt;=50%),(P233+S233)/(I233-Q233),"")))</f>
        <v>0.8888888888888888</v>
      </c>
      <c r="W233" s="26">
        <f>IF(I233=O233,"",IF(V233="",0,(P233+Q233+S233-O233)/(I233-O233)))</f>
        <v>0.896551724137931</v>
      </c>
      <c r="X233" s="30"/>
      <c r="Y233" s="30"/>
      <c r="Z233" s="30"/>
      <c r="AA233" s="30"/>
      <c r="AB233" s="34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</row>
    <row r="234" spans="1:41" s="39" customFormat="1" ht="23.25" customHeight="1">
      <c r="A234" s="32"/>
      <c r="B234" s="137" t="s">
        <v>80</v>
      </c>
      <c r="C234" s="14" t="s">
        <v>2</v>
      </c>
      <c r="D234" s="29" t="s">
        <v>190</v>
      </c>
      <c r="E234" s="16" t="s">
        <v>206</v>
      </c>
      <c r="F234" s="15"/>
      <c r="G234" s="15"/>
      <c r="H234" s="15"/>
      <c r="I234" s="17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8"/>
      <c r="X234" s="30"/>
      <c r="Y234" s="30"/>
      <c r="Z234" s="30"/>
      <c r="AA234" s="30"/>
      <c r="AB234" s="34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</row>
    <row r="235" spans="1:41" s="39" customFormat="1" ht="18.75" customHeight="1">
      <c r="A235" s="32">
        <v>69</v>
      </c>
      <c r="B235" s="137"/>
      <c r="C235" s="20" t="s">
        <v>173</v>
      </c>
      <c r="D235" s="15"/>
      <c r="E235" s="16"/>
      <c r="F235" s="15">
        <v>0</v>
      </c>
      <c r="G235" s="15">
        <v>0</v>
      </c>
      <c r="H235" s="15">
        <v>0</v>
      </c>
      <c r="I235" s="17">
        <f>SUM(F235:H235)</f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f>SUM(J235:O235)</f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8"/>
      <c r="W235" s="18"/>
      <c r="X235" s="30"/>
      <c r="Y235" s="30"/>
      <c r="Z235" s="30"/>
      <c r="AA235" s="30"/>
      <c r="AB235" s="34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</row>
    <row r="236" spans="1:41" s="39" customFormat="1" ht="21" customHeight="1">
      <c r="A236" s="32"/>
      <c r="B236" s="131"/>
      <c r="C236" s="21" t="s">
        <v>12</v>
      </c>
      <c r="D236" s="33"/>
      <c r="E236" s="23"/>
      <c r="F236" s="24">
        <f>SUM(F234:F235)</f>
        <v>0</v>
      </c>
      <c r="G236" s="24">
        <f>SUM(G234:G235)</f>
        <v>0</v>
      </c>
      <c r="H236" s="24">
        <f>SUM(H234:H235)</f>
        <v>0</v>
      </c>
      <c r="I236" s="40">
        <f>SUM(F236:H236)</f>
        <v>0</v>
      </c>
      <c r="J236" s="24">
        <f aca="true" t="shared" si="68" ref="J236:O236">SUM(J234:J235)</f>
        <v>0</v>
      </c>
      <c r="K236" s="24">
        <f t="shared" si="68"/>
        <v>0</v>
      </c>
      <c r="L236" s="24">
        <f t="shared" si="68"/>
        <v>0</v>
      </c>
      <c r="M236" s="24">
        <f t="shared" si="68"/>
        <v>0</v>
      </c>
      <c r="N236" s="24">
        <f t="shared" si="68"/>
        <v>0</v>
      </c>
      <c r="O236" s="24">
        <f t="shared" si="68"/>
        <v>0</v>
      </c>
      <c r="P236" s="24">
        <f>SUM(J236:O236)</f>
        <v>0</v>
      </c>
      <c r="Q236" s="24">
        <f>SUM(Q234:Q235)</f>
        <v>0</v>
      </c>
      <c r="R236" s="24">
        <f>SUM(R234:R235)</f>
        <v>0</v>
      </c>
      <c r="S236" s="24">
        <f>SUM(S234:S235)</f>
        <v>0</v>
      </c>
      <c r="T236" s="24">
        <f>SUM(T234:T235)</f>
        <v>0</v>
      </c>
      <c r="U236" s="24">
        <f>SUM(U234:U235)</f>
        <v>0</v>
      </c>
      <c r="V236" s="26">
        <f>IF(I236-Q236=0,"",IF(D236="",(P236+S236)/(I236-Q236),IF(AND(D236&lt;&gt;"",(P236+S236)/(I236-Q236)&gt;=50%),(P236+S236)/(I236-Q236),"")))</f>
      </c>
      <c r="W236" s="26">
        <f>IF(I236=O236,"",IF(V236="",0,(P236+Q236+S236-O236)/(I236-O236)))</f>
      </c>
      <c r="X236" s="30"/>
      <c r="Y236" s="30"/>
      <c r="Z236" s="30"/>
      <c r="AA236" s="30"/>
      <c r="AB236" s="34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</row>
    <row r="237" spans="1:41" s="39" customFormat="1" ht="22.5" customHeight="1">
      <c r="A237" s="32"/>
      <c r="B237" s="138" t="s">
        <v>81</v>
      </c>
      <c r="C237" s="105" t="s">
        <v>156</v>
      </c>
      <c r="D237" s="29"/>
      <c r="E237" s="16" t="s">
        <v>27</v>
      </c>
      <c r="F237" s="15"/>
      <c r="G237" s="15"/>
      <c r="H237" s="15"/>
      <c r="I237" s="17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8"/>
      <c r="X237" s="30"/>
      <c r="Y237" s="30"/>
      <c r="Z237" s="30"/>
      <c r="AA237" s="30"/>
      <c r="AB237" s="34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</row>
    <row r="238" spans="1:41" s="39" customFormat="1" ht="22.5" customHeight="1">
      <c r="A238" s="32">
        <v>60</v>
      </c>
      <c r="B238" s="139"/>
      <c r="C238" s="106" t="str">
        <f>IF(A238="","VARA",VLOOKUP(A238,'[1]varas'!$A$4:$B$67,2))</f>
        <v>VT Timbaúba</v>
      </c>
      <c r="D238" s="15"/>
      <c r="E238" s="16"/>
      <c r="F238" s="15">
        <f>85+25+7+3</f>
        <v>120</v>
      </c>
      <c r="G238" s="15">
        <v>1</v>
      </c>
      <c r="H238" s="15">
        <v>0</v>
      </c>
      <c r="I238" s="17">
        <f>SUM(F238:H238)</f>
        <v>121</v>
      </c>
      <c r="J238" s="15">
        <v>51</v>
      </c>
      <c r="K238" s="15">
        <v>12</v>
      </c>
      <c r="L238" s="15">
        <v>7</v>
      </c>
      <c r="M238" s="15">
        <v>3</v>
      </c>
      <c r="N238" s="15">
        <v>0</v>
      </c>
      <c r="O238" s="15">
        <v>25</v>
      </c>
      <c r="P238" s="15">
        <f>SUM(J238:O238)</f>
        <v>98</v>
      </c>
      <c r="Q238" s="15">
        <v>23</v>
      </c>
      <c r="R238" s="15">
        <v>0</v>
      </c>
      <c r="S238" s="15">
        <v>0</v>
      </c>
      <c r="T238" s="15">
        <v>0</v>
      </c>
      <c r="U238" s="15">
        <v>141</v>
      </c>
      <c r="V238" s="18"/>
      <c r="W238" s="18"/>
      <c r="X238" s="30"/>
      <c r="Y238" s="30"/>
      <c r="Z238" s="30"/>
      <c r="AA238" s="30"/>
      <c r="AB238" s="34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</row>
    <row r="239" spans="1:41" s="39" customFormat="1" ht="17.25" customHeight="1">
      <c r="A239" s="32"/>
      <c r="B239" s="135"/>
      <c r="C239" s="107" t="s">
        <v>12</v>
      </c>
      <c r="D239" s="33"/>
      <c r="E239" s="23"/>
      <c r="F239" s="24">
        <f>SUM(F237:F238)</f>
        <v>120</v>
      </c>
      <c r="G239" s="24">
        <f>SUM(G237:G238)</f>
        <v>1</v>
      </c>
      <c r="H239" s="24">
        <f>SUM(H237:H238)</f>
        <v>0</v>
      </c>
      <c r="I239" s="40">
        <f>SUM(F239:H239)</f>
        <v>121</v>
      </c>
      <c r="J239" s="24">
        <f aca="true" t="shared" si="69" ref="J239:O239">SUM(J237:J238)</f>
        <v>51</v>
      </c>
      <c r="K239" s="24">
        <f t="shared" si="69"/>
        <v>12</v>
      </c>
      <c r="L239" s="24">
        <f t="shared" si="69"/>
        <v>7</v>
      </c>
      <c r="M239" s="24">
        <f t="shared" si="69"/>
        <v>3</v>
      </c>
      <c r="N239" s="24">
        <f t="shared" si="69"/>
        <v>0</v>
      </c>
      <c r="O239" s="24">
        <f t="shared" si="69"/>
        <v>25</v>
      </c>
      <c r="P239" s="24">
        <f>SUM(J239:O239)</f>
        <v>98</v>
      </c>
      <c r="Q239" s="24">
        <f>SUM(Q237:Q238)</f>
        <v>23</v>
      </c>
      <c r="R239" s="24">
        <f>SUM(R237:R238)</f>
        <v>0</v>
      </c>
      <c r="S239" s="24">
        <f>SUM(S237:S238)</f>
        <v>0</v>
      </c>
      <c r="T239" s="24">
        <f>SUM(T237:T238)</f>
        <v>0</v>
      </c>
      <c r="U239" s="24">
        <f>SUM(U237:U238)</f>
        <v>141</v>
      </c>
      <c r="V239" s="26">
        <f>IF(I239-Q239=0,"",IF(D239="",(P239+S239)/(I239-Q239),IF(AND(D239&lt;&gt;"",(P239+S239)/(I239-Q239)&gt;=50%),(P239+S239)/(I239-Q239),"")))</f>
        <v>1</v>
      </c>
      <c r="W239" s="26">
        <f>IF(I239=O239,"",IF(V239="",0,(P239+Q239+S239-O239)/(I239-O239)))</f>
        <v>1</v>
      </c>
      <c r="X239" s="30"/>
      <c r="Y239" s="30"/>
      <c r="Z239" s="30"/>
      <c r="AA239" s="30"/>
      <c r="AB239" s="34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</row>
    <row r="240" spans="1:41" s="39" customFormat="1" ht="25.5" customHeight="1">
      <c r="A240" s="32"/>
      <c r="B240" s="138" t="s">
        <v>160</v>
      </c>
      <c r="C240" s="105" t="s">
        <v>154</v>
      </c>
      <c r="D240" s="15"/>
      <c r="E240" s="16" t="s">
        <v>27</v>
      </c>
      <c r="F240" s="15"/>
      <c r="G240" s="15"/>
      <c r="H240" s="15"/>
      <c r="I240" s="17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8"/>
      <c r="X240" s="30"/>
      <c r="Y240" s="30"/>
      <c r="Z240" s="30"/>
      <c r="AA240" s="30"/>
      <c r="AB240" s="34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</row>
    <row r="241" spans="1:41" s="39" customFormat="1" ht="22.5" customHeight="1">
      <c r="A241" s="32">
        <v>1</v>
      </c>
      <c r="B241" s="139"/>
      <c r="C241" s="106" t="str">
        <f>IF(A241="","VARA",VLOOKUP(A241,'[1]varas'!$A$4:$B$67,2))</f>
        <v>1ª VT Recife</v>
      </c>
      <c r="D241" s="15"/>
      <c r="E241" s="16"/>
      <c r="F241" s="15">
        <f>44+6+4</f>
        <v>54</v>
      </c>
      <c r="G241" s="15">
        <v>7</v>
      </c>
      <c r="H241" s="15">
        <v>0</v>
      </c>
      <c r="I241" s="17">
        <f>SUM(F241:H241)</f>
        <v>61</v>
      </c>
      <c r="J241" s="15">
        <v>32</v>
      </c>
      <c r="K241" s="15">
        <v>8</v>
      </c>
      <c r="L241" s="15">
        <v>3</v>
      </c>
      <c r="M241" s="15">
        <v>1</v>
      </c>
      <c r="N241" s="15">
        <v>0</v>
      </c>
      <c r="O241" s="15">
        <v>6</v>
      </c>
      <c r="P241" s="15">
        <f>SUM(J241:O241)</f>
        <v>50</v>
      </c>
      <c r="Q241" s="15">
        <v>11</v>
      </c>
      <c r="R241" s="15">
        <v>0</v>
      </c>
      <c r="S241" s="15">
        <v>0</v>
      </c>
      <c r="T241" s="15">
        <v>0</v>
      </c>
      <c r="U241" s="15">
        <v>78</v>
      </c>
      <c r="V241" s="18"/>
      <c r="W241" s="18"/>
      <c r="X241" s="30"/>
      <c r="Y241" s="30"/>
      <c r="Z241" s="30"/>
      <c r="AA241" s="30"/>
      <c r="AB241" s="34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</row>
    <row r="242" spans="1:41" s="39" customFormat="1" ht="18.75" customHeight="1">
      <c r="A242" s="32">
        <v>15</v>
      </c>
      <c r="B242" s="139"/>
      <c r="C242" s="106" t="str">
        <f>IF(A242="","VARA",VLOOKUP(A242,'[1]varas'!$A$4:$B$67,2))</f>
        <v>15ª VT Recife</v>
      </c>
      <c r="D242" s="15"/>
      <c r="E242" s="16"/>
      <c r="F242" s="15">
        <v>5</v>
      </c>
      <c r="G242" s="15">
        <v>0</v>
      </c>
      <c r="H242" s="15">
        <v>0</v>
      </c>
      <c r="I242" s="17">
        <f>SUM(F242:H242)</f>
        <v>5</v>
      </c>
      <c r="J242" s="15">
        <v>0</v>
      </c>
      <c r="K242" s="15">
        <v>2</v>
      </c>
      <c r="L242" s="15">
        <v>0</v>
      </c>
      <c r="M242" s="15">
        <v>0</v>
      </c>
      <c r="N242" s="15">
        <v>0</v>
      </c>
      <c r="O242" s="15">
        <v>2</v>
      </c>
      <c r="P242" s="15">
        <f>SUM(J242:O242)</f>
        <v>4</v>
      </c>
      <c r="Q242" s="15">
        <v>1</v>
      </c>
      <c r="R242" s="15">
        <v>0</v>
      </c>
      <c r="S242" s="15">
        <v>0</v>
      </c>
      <c r="T242" s="15">
        <v>0</v>
      </c>
      <c r="U242" s="15">
        <v>10</v>
      </c>
      <c r="V242" s="18"/>
      <c r="W242" s="18"/>
      <c r="X242" s="30"/>
      <c r="Y242" s="30"/>
      <c r="Z242" s="30"/>
      <c r="AA242" s="30"/>
      <c r="AB242" s="34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</row>
    <row r="243" spans="1:41" s="53" customFormat="1" ht="19.5" customHeight="1">
      <c r="A243" s="47"/>
      <c r="B243" s="135"/>
      <c r="C243" s="106" t="s">
        <v>12</v>
      </c>
      <c r="D243" s="24"/>
      <c r="E243" s="48"/>
      <c r="F243" s="24">
        <f>SUM(F240:F242)</f>
        <v>59</v>
      </c>
      <c r="G243" s="24">
        <f>SUM(G240:G242)</f>
        <v>7</v>
      </c>
      <c r="H243" s="24">
        <f>SUM(H240:H242)</f>
        <v>0</v>
      </c>
      <c r="I243" s="40">
        <f>SUM(F243:H243)</f>
        <v>66</v>
      </c>
      <c r="J243" s="24">
        <f aca="true" t="shared" si="70" ref="J243:O243">SUM(J240:J242)</f>
        <v>32</v>
      </c>
      <c r="K243" s="24">
        <f t="shared" si="70"/>
        <v>10</v>
      </c>
      <c r="L243" s="24">
        <f t="shared" si="70"/>
        <v>3</v>
      </c>
      <c r="M243" s="24">
        <f t="shared" si="70"/>
        <v>1</v>
      </c>
      <c r="N243" s="24">
        <f t="shared" si="70"/>
        <v>0</v>
      </c>
      <c r="O243" s="24">
        <f t="shared" si="70"/>
        <v>8</v>
      </c>
      <c r="P243" s="24">
        <f>SUM(J243:O243)</f>
        <v>54</v>
      </c>
      <c r="Q243" s="24">
        <f>SUM(Q240:Q242)</f>
        <v>12</v>
      </c>
      <c r="R243" s="24">
        <f>SUM(R240:R242)</f>
        <v>0</v>
      </c>
      <c r="S243" s="24">
        <f>SUM(S240:S242)</f>
        <v>0</v>
      </c>
      <c r="T243" s="24">
        <f>SUM(T240:T242)</f>
        <v>0</v>
      </c>
      <c r="U243" s="24">
        <f>SUM(U240:U242)</f>
        <v>88</v>
      </c>
      <c r="V243" s="26">
        <f>IF(I243-Q243=0,"",IF(D243="",(P243+S243)/(I243-Q243),IF(AND(D243&lt;&gt;"",(P243+S243)/(I243-Q243)&gt;=50%),(P243+S243)/(I243-Q243),"")))</f>
        <v>1</v>
      </c>
      <c r="W243" s="26">
        <f>IF(I243=O243,"",IF(V243="",0,(P243+Q243+S243-O243)/(I243-O243)))</f>
        <v>1</v>
      </c>
      <c r="X243" s="49"/>
      <c r="Y243" s="49"/>
      <c r="Z243" s="49"/>
      <c r="AA243" s="49"/>
      <c r="AB243" s="50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</row>
    <row r="244" spans="1:41" s="39" customFormat="1" ht="25.5" customHeight="1">
      <c r="A244" s="32"/>
      <c r="B244" s="138" t="s">
        <v>82</v>
      </c>
      <c r="C244" s="105" t="s">
        <v>156</v>
      </c>
      <c r="D244" s="29"/>
      <c r="E244" s="16" t="s">
        <v>27</v>
      </c>
      <c r="F244" s="15"/>
      <c r="G244" s="15"/>
      <c r="H244" s="15"/>
      <c r="I244" s="17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8"/>
      <c r="X244" s="30"/>
      <c r="Y244" s="30"/>
      <c r="Z244" s="30"/>
      <c r="AA244" s="30"/>
      <c r="AB244" s="34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</row>
    <row r="245" spans="1:41" s="39" customFormat="1" ht="23.25" customHeight="1">
      <c r="A245" s="32">
        <v>31</v>
      </c>
      <c r="B245" s="140"/>
      <c r="C245" s="106" t="str">
        <f>IF(A245="","VARA",VLOOKUP(A245,'[1]varas'!$A$4:$B$67,2))</f>
        <v>1ª VT Igarassu</v>
      </c>
      <c r="D245" s="15"/>
      <c r="E245" s="16"/>
      <c r="F245" s="15">
        <v>0</v>
      </c>
      <c r="G245" s="15">
        <v>7</v>
      </c>
      <c r="H245" s="15">
        <v>3</v>
      </c>
      <c r="I245" s="17">
        <f>SUM(F245:H245)</f>
        <v>10</v>
      </c>
      <c r="J245" s="15">
        <v>10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f>SUM(J245:O245)</f>
        <v>10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8"/>
      <c r="W245" s="18"/>
      <c r="X245" s="30"/>
      <c r="Y245" s="30"/>
      <c r="Z245" s="30"/>
      <c r="AA245" s="30"/>
      <c r="AB245" s="34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</row>
    <row r="246" spans="1:41" s="39" customFormat="1" ht="20.25" customHeight="1">
      <c r="A246" s="32">
        <v>67</v>
      </c>
      <c r="B246" s="139"/>
      <c r="C246" s="106" t="s">
        <v>167</v>
      </c>
      <c r="D246" s="15"/>
      <c r="E246" s="16"/>
      <c r="F246" s="15">
        <f>26+46+4</f>
        <v>76</v>
      </c>
      <c r="G246" s="15">
        <v>2</v>
      </c>
      <c r="H246" s="15">
        <v>0</v>
      </c>
      <c r="I246" s="17">
        <f>SUM(F246:H246)</f>
        <v>78</v>
      </c>
      <c r="J246" s="15">
        <v>12</v>
      </c>
      <c r="K246" s="15">
        <v>6</v>
      </c>
      <c r="L246" s="15">
        <v>4</v>
      </c>
      <c r="M246" s="15">
        <v>0</v>
      </c>
      <c r="N246" s="15">
        <v>0</v>
      </c>
      <c r="O246" s="15">
        <v>46</v>
      </c>
      <c r="P246" s="15">
        <f>SUM(J246:O246)</f>
        <v>68</v>
      </c>
      <c r="Q246" s="15">
        <v>10</v>
      </c>
      <c r="R246" s="15">
        <v>0</v>
      </c>
      <c r="S246" s="15">
        <v>0</v>
      </c>
      <c r="T246" s="15">
        <v>0</v>
      </c>
      <c r="U246" s="15">
        <v>153</v>
      </c>
      <c r="V246" s="18"/>
      <c r="W246" s="18"/>
      <c r="X246" s="30"/>
      <c r="Y246" s="30"/>
      <c r="Z246" s="30"/>
      <c r="AA246" s="30"/>
      <c r="AB246" s="34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</row>
    <row r="247" spans="1:41" s="39" customFormat="1" ht="20.25" customHeight="1">
      <c r="A247" s="32"/>
      <c r="B247" s="135"/>
      <c r="C247" s="107" t="s">
        <v>12</v>
      </c>
      <c r="D247" s="33"/>
      <c r="E247" s="23"/>
      <c r="F247" s="24">
        <f>SUM(F244:F246)</f>
        <v>76</v>
      </c>
      <c r="G247" s="24">
        <f>SUM(G244:G246)</f>
        <v>9</v>
      </c>
      <c r="H247" s="24">
        <f>SUM(H244:H246)</f>
        <v>3</v>
      </c>
      <c r="I247" s="40">
        <f>SUM(F247:H247)</f>
        <v>88</v>
      </c>
      <c r="J247" s="24">
        <f aca="true" t="shared" si="71" ref="J247:O247">SUM(J244:J246)</f>
        <v>22</v>
      </c>
      <c r="K247" s="24">
        <f t="shared" si="71"/>
        <v>6</v>
      </c>
      <c r="L247" s="24">
        <f t="shared" si="71"/>
        <v>4</v>
      </c>
      <c r="M247" s="24">
        <f t="shared" si="71"/>
        <v>0</v>
      </c>
      <c r="N247" s="24">
        <f t="shared" si="71"/>
        <v>0</v>
      </c>
      <c r="O247" s="24">
        <f t="shared" si="71"/>
        <v>46</v>
      </c>
      <c r="P247" s="24">
        <f>SUM(J247:O247)</f>
        <v>78</v>
      </c>
      <c r="Q247" s="24">
        <f>SUM(Q244:Q246)</f>
        <v>10</v>
      </c>
      <c r="R247" s="24">
        <f>SUM(R244:R246)</f>
        <v>0</v>
      </c>
      <c r="S247" s="24">
        <f>SUM(S244:S246)</f>
        <v>0</v>
      </c>
      <c r="T247" s="24">
        <f>SUM(T244:T246)</f>
        <v>0</v>
      </c>
      <c r="U247" s="24">
        <f>SUM(U244:U246)</f>
        <v>153</v>
      </c>
      <c r="V247" s="26">
        <f>IF(I247-Q247=0,"",IF(D247="",(P247+S247)/(I247-Q247),IF(AND(D247&lt;&gt;"",(P247+S247)/(I247-Q247)&gt;=50%),(P247+S247)/(I247-Q247),"")))</f>
        <v>1</v>
      </c>
      <c r="W247" s="26">
        <f>IF(I247=O247,"",IF(V247="",0,(P247+Q247+S247-O247)/(I247-O247)))</f>
        <v>1</v>
      </c>
      <c r="X247" s="30"/>
      <c r="Y247" s="30"/>
      <c r="Z247" s="30"/>
      <c r="AA247" s="30"/>
      <c r="AB247" s="34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</row>
    <row r="248" spans="1:41" s="39" customFormat="1" ht="27" customHeight="1">
      <c r="A248" s="32"/>
      <c r="B248" s="138" t="s">
        <v>83</v>
      </c>
      <c r="C248" s="105" t="s">
        <v>2</v>
      </c>
      <c r="D248" s="29"/>
      <c r="E248" s="16" t="s">
        <v>27</v>
      </c>
      <c r="F248" s="15"/>
      <c r="G248" s="15"/>
      <c r="H248" s="15"/>
      <c r="I248" s="17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8"/>
      <c r="X248" s="30"/>
      <c r="Y248" s="30"/>
      <c r="Z248" s="30"/>
      <c r="AA248" s="30"/>
      <c r="AB248" s="34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</row>
    <row r="249" spans="1:41" s="39" customFormat="1" ht="18.75" customHeight="1">
      <c r="A249" s="32">
        <v>13</v>
      </c>
      <c r="B249" s="139"/>
      <c r="C249" s="106" t="str">
        <f>IF(A249="","VARA",VLOOKUP(A249,'[1]varas'!$A$4:$B$67,2))</f>
        <v>13ª VT Recife</v>
      </c>
      <c r="D249" s="15"/>
      <c r="E249" s="16"/>
      <c r="F249" s="15">
        <f>16+18+3</f>
        <v>37</v>
      </c>
      <c r="G249" s="15">
        <v>5</v>
      </c>
      <c r="H249" s="15">
        <v>39</v>
      </c>
      <c r="I249" s="17">
        <f>SUM(F249:H249)</f>
        <v>81</v>
      </c>
      <c r="J249" s="15">
        <v>19</v>
      </c>
      <c r="K249" s="15">
        <v>0</v>
      </c>
      <c r="L249" s="15">
        <v>2</v>
      </c>
      <c r="M249" s="15">
        <v>1</v>
      </c>
      <c r="N249" s="15">
        <v>0</v>
      </c>
      <c r="O249" s="15">
        <v>18</v>
      </c>
      <c r="P249" s="15">
        <f>SUM(J249:O249)</f>
        <v>40</v>
      </c>
      <c r="Q249" s="15">
        <v>5</v>
      </c>
      <c r="R249" s="15">
        <v>35</v>
      </c>
      <c r="S249" s="15">
        <v>0</v>
      </c>
      <c r="T249" s="15">
        <v>1</v>
      </c>
      <c r="U249" s="15">
        <v>90</v>
      </c>
      <c r="V249" s="18"/>
      <c r="W249" s="18"/>
      <c r="X249" s="30"/>
      <c r="Y249" s="30"/>
      <c r="Z249" s="30"/>
      <c r="AA249" s="30"/>
      <c r="AB249" s="34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</row>
    <row r="250" spans="1:41" s="53" customFormat="1" ht="24" customHeight="1">
      <c r="A250" s="47"/>
      <c r="B250" s="135"/>
      <c r="C250" s="107" t="s">
        <v>12</v>
      </c>
      <c r="D250" s="51"/>
      <c r="E250" s="52"/>
      <c r="F250" s="24">
        <f>SUM(F248:F249)</f>
        <v>37</v>
      </c>
      <c r="G250" s="24">
        <f>SUM(G248:G249)</f>
        <v>5</v>
      </c>
      <c r="H250" s="24">
        <f>SUM(H248:H249)</f>
        <v>39</v>
      </c>
      <c r="I250" s="25">
        <f>SUM(F250:H250)</f>
        <v>81</v>
      </c>
      <c r="J250" s="24">
        <f aca="true" t="shared" si="72" ref="J250:O250">SUM(J248:J249)</f>
        <v>19</v>
      </c>
      <c r="K250" s="24">
        <f t="shared" si="72"/>
        <v>0</v>
      </c>
      <c r="L250" s="24">
        <f t="shared" si="72"/>
        <v>2</v>
      </c>
      <c r="M250" s="24">
        <f t="shared" si="72"/>
        <v>1</v>
      </c>
      <c r="N250" s="24">
        <f t="shared" si="72"/>
        <v>0</v>
      </c>
      <c r="O250" s="24">
        <f t="shared" si="72"/>
        <v>18</v>
      </c>
      <c r="P250" s="24">
        <f>SUM(J250:O250)</f>
        <v>40</v>
      </c>
      <c r="Q250" s="24">
        <f>SUM(Q248:Q249)</f>
        <v>5</v>
      </c>
      <c r="R250" s="24">
        <f>SUM(R248:R249)</f>
        <v>35</v>
      </c>
      <c r="S250" s="24">
        <f>SUM(S248:S249)</f>
        <v>0</v>
      </c>
      <c r="T250" s="24">
        <f>SUM(T248:T249)</f>
        <v>1</v>
      </c>
      <c r="U250" s="24">
        <f>SUM(U248:U249)</f>
        <v>90</v>
      </c>
      <c r="V250" s="26">
        <f>IF(I250-Q250=0,"",IF(D250="",(P250+S250)/(I250-Q250),IF(AND(D250&lt;&gt;"",(P250+S250)/(I250-Q250)&gt;=50%),(P250+S250)/(I250-Q250),"")))</f>
        <v>0.5263157894736842</v>
      </c>
      <c r="W250" s="26">
        <f>IF(I250=O250,"",IF(V250="",0,(P250+Q250+S250-O250)/(I250-O250)))</f>
        <v>0.42857142857142855</v>
      </c>
      <c r="X250" s="49"/>
      <c r="Y250" s="49"/>
      <c r="Z250" s="49"/>
      <c r="AA250" s="49"/>
      <c r="AB250" s="50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</row>
    <row r="251" spans="1:41" s="53" customFormat="1" ht="21.75" customHeight="1">
      <c r="A251" s="47"/>
      <c r="B251" s="138" t="s">
        <v>84</v>
      </c>
      <c r="C251" s="105" t="s">
        <v>154</v>
      </c>
      <c r="D251" s="29"/>
      <c r="E251" s="16" t="s">
        <v>27</v>
      </c>
      <c r="F251" s="15"/>
      <c r="G251" s="15"/>
      <c r="H251" s="15"/>
      <c r="I251" s="17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8"/>
      <c r="X251" s="49"/>
      <c r="Y251" s="49"/>
      <c r="Z251" s="49"/>
      <c r="AA251" s="49"/>
      <c r="AB251" s="50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</row>
    <row r="252" spans="1:41" s="53" customFormat="1" ht="21.75" customHeight="1">
      <c r="A252" s="47">
        <v>15</v>
      </c>
      <c r="B252" s="140"/>
      <c r="C252" s="106" t="str">
        <f>IF(A252="","VARA",VLOOKUP(A252,'[1]varas'!$A$4:$B$67,2))</f>
        <v>15ª VT Recife</v>
      </c>
      <c r="D252" s="15"/>
      <c r="E252" s="16"/>
      <c r="F252" s="15">
        <v>12</v>
      </c>
      <c r="G252" s="15">
        <v>0</v>
      </c>
      <c r="H252" s="15">
        <v>0</v>
      </c>
      <c r="I252" s="17">
        <f>SUM(F252:H252)</f>
        <v>12</v>
      </c>
      <c r="J252" s="15">
        <v>0</v>
      </c>
      <c r="K252" s="15">
        <v>1</v>
      </c>
      <c r="L252" s="15">
        <v>2</v>
      </c>
      <c r="M252" s="15">
        <v>2</v>
      </c>
      <c r="N252" s="15">
        <v>0</v>
      </c>
      <c r="O252" s="15">
        <v>6</v>
      </c>
      <c r="P252" s="15">
        <f>SUM(J252:O252)</f>
        <v>11</v>
      </c>
      <c r="Q252" s="15">
        <v>1</v>
      </c>
      <c r="R252" s="15">
        <v>0</v>
      </c>
      <c r="S252" s="15">
        <v>0</v>
      </c>
      <c r="T252" s="15">
        <v>0</v>
      </c>
      <c r="U252" s="15">
        <v>11</v>
      </c>
      <c r="V252" s="18"/>
      <c r="W252" s="18"/>
      <c r="X252" s="49"/>
      <c r="Y252" s="49"/>
      <c r="Z252" s="49"/>
      <c r="AA252" s="49"/>
      <c r="AB252" s="50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</row>
    <row r="253" spans="1:41" s="53" customFormat="1" ht="22.5" customHeight="1">
      <c r="A253" s="47">
        <v>20</v>
      </c>
      <c r="B253" s="139"/>
      <c r="C253" s="106" t="str">
        <f>IF(A253="","VARA",VLOOKUP(A253,'[1]varas'!$A$4:$B$67,2))</f>
        <v>20ª VT Recife</v>
      </c>
      <c r="D253" s="15"/>
      <c r="E253" s="16"/>
      <c r="F253" s="15">
        <f>35+12+9</f>
        <v>56</v>
      </c>
      <c r="G253" s="15">
        <v>0</v>
      </c>
      <c r="H253" s="15">
        <v>0</v>
      </c>
      <c r="I253" s="17">
        <f>SUM(F253:H253)</f>
        <v>56</v>
      </c>
      <c r="J253" s="15">
        <v>23</v>
      </c>
      <c r="K253" s="15">
        <v>12</v>
      </c>
      <c r="L253" s="15">
        <v>2</v>
      </c>
      <c r="M253" s="15">
        <v>9</v>
      </c>
      <c r="N253" s="15">
        <v>0</v>
      </c>
      <c r="O253" s="15">
        <v>10</v>
      </c>
      <c r="P253" s="15">
        <f>SUM(J253:O253)</f>
        <v>56</v>
      </c>
      <c r="Q253" s="15">
        <v>0</v>
      </c>
      <c r="R253" s="15">
        <v>0</v>
      </c>
      <c r="S253" s="15">
        <v>0</v>
      </c>
      <c r="T253" s="15">
        <v>0</v>
      </c>
      <c r="U253" s="15">
        <v>101</v>
      </c>
      <c r="V253" s="18"/>
      <c r="W253" s="18"/>
      <c r="X253" s="49"/>
      <c r="Y253" s="49"/>
      <c r="Z253" s="49"/>
      <c r="AA253" s="49"/>
      <c r="AB253" s="50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</row>
    <row r="254" spans="1:41" s="53" customFormat="1" ht="22.5" customHeight="1">
      <c r="A254" s="47"/>
      <c r="B254" s="135"/>
      <c r="C254" s="107" t="s">
        <v>12</v>
      </c>
      <c r="D254" s="33"/>
      <c r="E254" s="23"/>
      <c r="F254" s="24">
        <f>SUM(F251:F253)</f>
        <v>68</v>
      </c>
      <c r="G254" s="24">
        <f>SUM(G251:G253)</f>
        <v>0</v>
      </c>
      <c r="H254" s="24">
        <f>SUM(H251:H253)</f>
        <v>0</v>
      </c>
      <c r="I254" s="40">
        <f>SUM(F254:H254)</f>
        <v>68</v>
      </c>
      <c r="J254" s="24">
        <f aca="true" t="shared" si="73" ref="J254:O254">SUM(J251:J253)</f>
        <v>23</v>
      </c>
      <c r="K254" s="24">
        <f t="shared" si="73"/>
        <v>13</v>
      </c>
      <c r="L254" s="24">
        <f t="shared" si="73"/>
        <v>4</v>
      </c>
      <c r="M254" s="24">
        <f t="shared" si="73"/>
        <v>11</v>
      </c>
      <c r="N254" s="24">
        <f t="shared" si="73"/>
        <v>0</v>
      </c>
      <c r="O254" s="24">
        <f t="shared" si="73"/>
        <v>16</v>
      </c>
      <c r="P254" s="24">
        <f>SUM(J254:O254)</f>
        <v>67</v>
      </c>
      <c r="Q254" s="24">
        <f>SUM(Q251:Q253)</f>
        <v>1</v>
      </c>
      <c r="R254" s="24">
        <f>SUM(R251:R253)</f>
        <v>0</v>
      </c>
      <c r="S254" s="24">
        <f>SUM(S251:S253)</f>
        <v>0</v>
      </c>
      <c r="T254" s="24">
        <f>SUM(T251:T253)</f>
        <v>0</v>
      </c>
      <c r="U254" s="24">
        <f>SUM(U251:U253)</f>
        <v>112</v>
      </c>
      <c r="V254" s="26">
        <f>IF(I254-Q254=0,"",IF(D254="",(P254+S254)/(I254-Q254),IF(AND(D254&lt;&gt;"",(P254+S254)/(I254-Q254)&gt;=50%),(P254+S254)/(I254-Q254),"")))</f>
        <v>1</v>
      </c>
      <c r="W254" s="26">
        <f>IF(I254=O254,"",IF(V254="",0,(P254+Q254+S254-O254)/(I254-O254)))</f>
        <v>1</v>
      </c>
      <c r="X254" s="49"/>
      <c r="Y254" s="49"/>
      <c r="Z254" s="49"/>
      <c r="AA254" s="49"/>
      <c r="AB254" s="50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</row>
    <row r="255" spans="1:41" s="39" customFormat="1" ht="24.75" customHeight="1">
      <c r="A255" s="32"/>
      <c r="B255" s="138" t="s">
        <v>168</v>
      </c>
      <c r="C255" s="105" t="s">
        <v>156</v>
      </c>
      <c r="D255" s="29" t="s">
        <v>30</v>
      </c>
      <c r="E255" s="16" t="s">
        <v>197</v>
      </c>
      <c r="F255" s="15"/>
      <c r="G255" s="15"/>
      <c r="H255" s="15"/>
      <c r="I255" s="17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8"/>
      <c r="X255" s="30"/>
      <c r="Y255" s="30"/>
      <c r="Z255" s="30"/>
      <c r="AA255" s="30"/>
      <c r="AB255" s="34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</row>
    <row r="256" spans="1:41" s="39" customFormat="1" ht="21.75" customHeight="1">
      <c r="A256" s="32">
        <v>16</v>
      </c>
      <c r="B256" s="139"/>
      <c r="C256" s="106" t="str">
        <f>IF(A256="","VARA",VLOOKUP(A256,'[1]varas'!$A$4:$B$67,2))</f>
        <v>16ª VT Recife</v>
      </c>
      <c r="D256" s="15"/>
      <c r="E256" s="16"/>
      <c r="F256" s="15">
        <v>0</v>
      </c>
      <c r="G256" s="15">
        <v>2</v>
      </c>
      <c r="H256" s="15">
        <v>0</v>
      </c>
      <c r="I256" s="17">
        <f>SUM(F256:H256)</f>
        <v>2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f>SUM(J256:O256)</f>
        <v>0</v>
      </c>
      <c r="Q256" s="15">
        <v>0</v>
      </c>
      <c r="R256" s="15">
        <v>2</v>
      </c>
      <c r="S256" s="15">
        <v>0</v>
      </c>
      <c r="T256" s="15">
        <v>0</v>
      </c>
      <c r="U256" s="15">
        <v>0</v>
      </c>
      <c r="V256" s="18"/>
      <c r="W256" s="18"/>
      <c r="X256" s="30"/>
      <c r="Y256" s="30"/>
      <c r="Z256" s="30"/>
      <c r="AA256" s="30"/>
      <c r="AB256" s="34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</row>
    <row r="257" spans="1:41" s="39" customFormat="1" ht="21.75" customHeight="1">
      <c r="A257" s="32">
        <v>37</v>
      </c>
      <c r="B257" s="139"/>
      <c r="C257" s="106" t="str">
        <f>IF(A257="","VARA",VLOOKUP(A257,'[1]varas'!$A$4:$B$67,2))</f>
        <v>4ª VT Jaboatão</v>
      </c>
      <c r="D257" s="15"/>
      <c r="E257" s="16"/>
      <c r="F257" s="15">
        <v>0</v>
      </c>
      <c r="G257" s="15">
        <v>9</v>
      </c>
      <c r="H257" s="15">
        <v>2</v>
      </c>
      <c r="I257" s="17">
        <f>SUM(F257:H257)</f>
        <v>11</v>
      </c>
      <c r="J257" s="15">
        <v>9</v>
      </c>
      <c r="K257" s="15">
        <v>2</v>
      </c>
      <c r="L257" s="15">
        <v>0</v>
      </c>
      <c r="M257" s="15">
        <v>0</v>
      </c>
      <c r="N257" s="15">
        <v>0</v>
      </c>
      <c r="O257" s="15">
        <v>0</v>
      </c>
      <c r="P257" s="15">
        <f>SUM(J257:O257)</f>
        <v>11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8"/>
      <c r="W257" s="18"/>
      <c r="X257" s="30"/>
      <c r="Y257" s="30"/>
      <c r="Z257" s="30"/>
      <c r="AA257" s="30"/>
      <c r="AB257" s="34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</row>
    <row r="258" spans="1:41" s="39" customFormat="1" ht="21.75" customHeight="1">
      <c r="A258" s="32">
        <v>47</v>
      </c>
      <c r="B258" s="139"/>
      <c r="C258" s="106" t="str">
        <f>IF(A258="","VARA",VLOOKUP(A258,'[1]varas'!$A$4:$B$67,2))</f>
        <v>VT Carpina</v>
      </c>
      <c r="D258" s="15"/>
      <c r="E258" s="16"/>
      <c r="F258" s="15">
        <v>0</v>
      </c>
      <c r="G258" s="15">
        <v>3</v>
      </c>
      <c r="H258" s="15">
        <v>0</v>
      </c>
      <c r="I258" s="17">
        <f>SUM(F258:H258)</f>
        <v>3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f>SUM(J258:O258)</f>
        <v>0</v>
      </c>
      <c r="Q258" s="15">
        <v>3</v>
      </c>
      <c r="R258" s="15">
        <v>0</v>
      </c>
      <c r="S258" s="15">
        <v>0</v>
      </c>
      <c r="T258" s="15">
        <v>0</v>
      </c>
      <c r="U258" s="15">
        <v>0</v>
      </c>
      <c r="V258" s="18"/>
      <c r="W258" s="18"/>
      <c r="X258" s="30"/>
      <c r="Y258" s="30"/>
      <c r="Z258" s="30"/>
      <c r="AA258" s="30"/>
      <c r="AB258" s="34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</row>
    <row r="259" spans="1:41" s="39" customFormat="1" ht="20.25" customHeight="1">
      <c r="A259" s="32"/>
      <c r="B259" s="135"/>
      <c r="C259" s="107" t="s">
        <v>12</v>
      </c>
      <c r="D259" s="33"/>
      <c r="E259" s="23"/>
      <c r="F259" s="24">
        <f>SUM(F255:F258)</f>
        <v>0</v>
      </c>
      <c r="G259" s="24">
        <f>SUM(G255:G258)</f>
        <v>14</v>
      </c>
      <c r="H259" s="24">
        <f>SUM(H255:H258)</f>
        <v>2</v>
      </c>
      <c r="I259" s="40">
        <f>SUM(F259:H259)</f>
        <v>16</v>
      </c>
      <c r="J259" s="24">
        <f aca="true" t="shared" si="74" ref="J259:O259">SUM(J255:J258)</f>
        <v>9</v>
      </c>
      <c r="K259" s="24">
        <f t="shared" si="74"/>
        <v>2</v>
      </c>
      <c r="L259" s="24">
        <f t="shared" si="74"/>
        <v>0</v>
      </c>
      <c r="M259" s="24">
        <f t="shared" si="74"/>
        <v>0</v>
      </c>
      <c r="N259" s="24">
        <f t="shared" si="74"/>
        <v>0</v>
      </c>
      <c r="O259" s="24">
        <f t="shared" si="74"/>
        <v>0</v>
      </c>
      <c r="P259" s="24">
        <f>SUM(J259:O259)</f>
        <v>11</v>
      </c>
      <c r="Q259" s="24">
        <f>SUM(Q255:Q258)</f>
        <v>3</v>
      </c>
      <c r="R259" s="24">
        <f>SUM(R255:R258)</f>
        <v>2</v>
      </c>
      <c r="S259" s="24">
        <f>SUM(S255:S258)</f>
        <v>0</v>
      </c>
      <c r="T259" s="24">
        <f>SUM(T255:T258)</f>
        <v>0</v>
      </c>
      <c r="U259" s="24">
        <f>SUM(U255:U258)</f>
        <v>0</v>
      </c>
      <c r="V259" s="26">
        <f>IF(I259-Q259=0,"",IF(D259="",(P259+S259)/(I259-Q259),IF(AND(D259&lt;&gt;"",(P259+S259)/(I259-Q259)&gt;=50%),(P259+S259)/(I259-Q259),"")))</f>
        <v>0.8461538461538461</v>
      </c>
      <c r="W259" s="26">
        <f>IF(I259=O259,"",IF(V259="",0,(P259+Q259+S259-O259)/(I259-O259)))</f>
        <v>0.875</v>
      </c>
      <c r="X259" s="30"/>
      <c r="Y259" s="30"/>
      <c r="Z259" s="30"/>
      <c r="AA259" s="30"/>
      <c r="AB259" s="34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</row>
    <row r="260" spans="1:41" s="39" customFormat="1" ht="25.5" customHeight="1">
      <c r="A260" s="32"/>
      <c r="B260" s="130" t="s">
        <v>85</v>
      </c>
      <c r="C260" s="14" t="s">
        <v>2</v>
      </c>
      <c r="D260" s="29"/>
      <c r="E260" s="16" t="s">
        <v>27</v>
      </c>
      <c r="F260" s="15"/>
      <c r="G260" s="15"/>
      <c r="H260" s="15"/>
      <c r="I260" s="17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8"/>
      <c r="X260" s="30"/>
      <c r="Y260" s="30"/>
      <c r="Z260" s="30"/>
      <c r="AA260" s="30"/>
      <c r="AB260" s="34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</row>
    <row r="261" spans="1:41" s="39" customFormat="1" ht="21" customHeight="1">
      <c r="A261" s="32">
        <v>28</v>
      </c>
      <c r="B261" s="137"/>
      <c r="C261" s="20" t="str">
        <f>IF(A261="","VARA",VLOOKUP(A261,'[1]varas'!$A$4:$B$67,2))</f>
        <v>1ª VT Caruaru</v>
      </c>
      <c r="D261" s="15"/>
      <c r="E261" s="16"/>
      <c r="F261" s="15">
        <f>11+6+7</f>
        <v>24</v>
      </c>
      <c r="G261" s="15">
        <v>0</v>
      </c>
      <c r="H261" s="15">
        <v>0</v>
      </c>
      <c r="I261" s="17">
        <f>SUM(F261:H261)</f>
        <v>24</v>
      </c>
      <c r="J261" s="15">
        <v>8</v>
      </c>
      <c r="K261" s="15">
        <v>0</v>
      </c>
      <c r="L261" s="15">
        <v>6</v>
      </c>
      <c r="M261" s="15">
        <v>1</v>
      </c>
      <c r="N261" s="15">
        <v>0</v>
      </c>
      <c r="O261" s="15">
        <v>6</v>
      </c>
      <c r="P261" s="15">
        <f>SUM(J261:O261)</f>
        <v>21</v>
      </c>
      <c r="Q261" s="15">
        <v>3</v>
      </c>
      <c r="R261" s="15">
        <v>0</v>
      </c>
      <c r="S261" s="15">
        <v>0</v>
      </c>
      <c r="T261" s="15">
        <v>0</v>
      </c>
      <c r="U261" s="15">
        <v>125</v>
      </c>
      <c r="V261" s="18"/>
      <c r="W261" s="18"/>
      <c r="X261" s="30"/>
      <c r="Y261" s="30"/>
      <c r="Z261" s="30"/>
      <c r="AA261" s="30"/>
      <c r="AB261" s="34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</row>
    <row r="262" spans="1:41" s="39" customFormat="1" ht="23.25" customHeight="1">
      <c r="A262" s="32">
        <v>29</v>
      </c>
      <c r="B262" s="137"/>
      <c r="C262" s="20" t="str">
        <f>IF(A262="","VARA",VLOOKUP(A262,'[1]varas'!$A$4:$B$67,2))</f>
        <v>2ª VT Caruaru</v>
      </c>
      <c r="D262" s="15"/>
      <c r="E262" s="16"/>
      <c r="F262" s="15">
        <v>8</v>
      </c>
      <c r="G262" s="15">
        <v>0</v>
      </c>
      <c r="H262" s="15">
        <v>0</v>
      </c>
      <c r="I262" s="17">
        <f>SUM(F262:H262)</f>
        <v>8</v>
      </c>
      <c r="J262" s="15">
        <v>0</v>
      </c>
      <c r="K262" s="15">
        <v>0</v>
      </c>
      <c r="L262" s="15">
        <v>2</v>
      </c>
      <c r="M262" s="15">
        <v>1</v>
      </c>
      <c r="N262" s="15">
        <v>0</v>
      </c>
      <c r="O262" s="15">
        <v>0</v>
      </c>
      <c r="P262" s="15">
        <f>SUM(J262:O262)</f>
        <v>3</v>
      </c>
      <c r="Q262" s="15">
        <v>2</v>
      </c>
      <c r="R262" s="15">
        <v>3</v>
      </c>
      <c r="S262" s="15">
        <v>0</v>
      </c>
      <c r="T262" s="15">
        <v>0</v>
      </c>
      <c r="U262" s="15">
        <v>1</v>
      </c>
      <c r="V262" s="18"/>
      <c r="W262" s="18"/>
      <c r="X262" s="30"/>
      <c r="Y262" s="30"/>
      <c r="Z262" s="30"/>
      <c r="AA262" s="30"/>
      <c r="AB262" s="34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</row>
    <row r="263" spans="1:41" s="39" customFormat="1" ht="18.75" customHeight="1">
      <c r="A263" s="32">
        <v>30</v>
      </c>
      <c r="B263" s="137"/>
      <c r="C263" s="20" t="str">
        <f>IF(A263="","VARA",VLOOKUP(A263,'[1]varas'!$A$4:$B$67,2))</f>
        <v>3ª VT Caruaru</v>
      </c>
      <c r="D263" s="15"/>
      <c r="E263" s="16"/>
      <c r="F263" s="15">
        <f>4+11+10+4</f>
        <v>29</v>
      </c>
      <c r="G263" s="15">
        <v>0</v>
      </c>
      <c r="H263" s="15">
        <v>5</v>
      </c>
      <c r="I263" s="17">
        <f>SUM(F263:H263)</f>
        <v>34</v>
      </c>
      <c r="J263" s="15">
        <v>2</v>
      </c>
      <c r="K263" s="15">
        <v>1</v>
      </c>
      <c r="L263" s="15">
        <v>10</v>
      </c>
      <c r="M263" s="15">
        <v>4</v>
      </c>
      <c r="N263" s="15">
        <v>0</v>
      </c>
      <c r="O263" s="15">
        <v>11</v>
      </c>
      <c r="P263" s="15">
        <f>SUM(J263:O263)</f>
        <v>28</v>
      </c>
      <c r="Q263" s="15">
        <v>0</v>
      </c>
      <c r="R263" s="15">
        <v>6</v>
      </c>
      <c r="S263" s="15">
        <v>0</v>
      </c>
      <c r="T263" s="15">
        <v>0</v>
      </c>
      <c r="U263" s="15">
        <v>20</v>
      </c>
      <c r="V263" s="18"/>
      <c r="W263" s="18"/>
      <c r="X263" s="30"/>
      <c r="Y263" s="30"/>
      <c r="Z263" s="30"/>
      <c r="AA263" s="30"/>
      <c r="AB263" s="34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</row>
    <row r="264" spans="1:41" s="53" customFormat="1" ht="18.75" customHeight="1">
      <c r="A264" s="47"/>
      <c r="B264" s="131"/>
      <c r="C264" s="20" t="s">
        <v>12</v>
      </c>
      <c r="D264" s="24"/>
      <c r="E264" s="48"/>
      <c r="F264" s="24">
        <f>SUM(F260:F263)</f>
        <v>61</v>
      </c>
      <c r="G264" s="24">
        <f>SUM(G260:G263)</f>
        <v>0</v>
      </c>
      <c r="H264" s="24">
        <f>SUM(H260:H263)</f>
        <v>5</v>
      </c>
      <c r="I264" s="40">
        <f>SUM(F264:H264)</f>
        <v>66</v>
      </c>
      <c r="J264" s="24">
        <f aca="true" t="shared" si="75" ref="J264:O264">SUM(J260:J263)</f>
        <v>10</v>
      </c>
      <c r="K264" s="24">
        <f t="shared" si="75"/>
        <v>1</v>
      </c>
      <c r="L264" s="24">
        <f t="shared" si="75"/>
        <v>18</v>
      </c>
      <c r="M264" s="24">
        <f t="shared" si="75"/>
        <v>6</v>
      </c>
      <c r="N264" s="24">
        <f t="shared" si="75"/>
        <v>0</v>
      </c>
      <c r="O264" s="24">
        <f t="shared" si="75"/>
        <v>17</v>
      </c>
      <c r="P264" s="24">
        <f>SUM(J264:O264)</f>
        <v>52</v>
      </c>
      <c r="Q264" s="24">
        <f>SUM(Q260:Q263)</f>
        <v>5</v>
      </c>
      <c r="R264" s="24">
        <f>SUM(R260:R263)</f>
        <v>9</v>
      </c>
      <c r="S264" s="24">
        <f>SUM(S260:S263)</f>
        <v>0</v>
      </c>
      <c r="T264" s="24">
        <f>SUM(T260:T263)</f>
        <v>0</v>
      </c>
      <c r="U264" s="24">
        <f>SUM(U260:U263)</f>
        <v>146</v>
      </c>
      <c r="V264" s="26">
        <f>IF(I264-Q264=0,"",IF(D264="",(P264+S264)/(I264-Q264),IF(AND(D264&lt;&gt;"",(P264+S264)/(I264-Q264)&gt;=50%),(P264+S264)/(I264-Q264),"")))</f>
        <v>0.8524590163934426</v>
      </c>
      <c r="W264" s="26">
        <f>IF(I264=O264,"",IF(V264="",0,(P264+Q264+S264-O264)/(I264-O264)))</f>
        <v>0.8163265306122449</v>
      </c>
      <c r="X264" s="49"/>
      <c r="Y264" s="49"/>
      <c r="Z264" s="49"/>
      <c r="AA264" s="49"/>
      <c r="AB264" s="50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</row>
    <row r="265" spans="1:41" s="39" customFormat="1" ht="21.75" customHeight="1">
      <c r="A265" s="32"/>
      <c r="B265" s="138" t="s">
        <v>86</v>
      </c>
      <c r="C265" s="105" t="s">
        <v>156</v>
      </c>
      <c r="D265" s="29"/>
      <c r="E265" s="16" t="s">
        <v>27</v>
      </c>
      <c r="F265" s="15"/>
      <c r="G265" s="15"/>
      <c r="H265" s="15"/>
      <c r="I265" s="17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8"/>
      <c r="X265" s="30"/>
      <c r="Y265" s="30"/>
      <c r="Z265" s="30"/>
      <c r="AA265" s="30"/>
      <c r="AB265" s="34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</row>
    <row r="266" spans="1:41" s="39" customFormat="1" ht="21.75" customHeight="1">
      <c r="A266" s="32">
        <v>22</v>
      </c>
      <c r="B266" s="140"/>
      <c r="C266" s="106" t="str">
        <f>IF(A266="","VARA",VLOOKUP(A266,'[1]varas'!$A$4:$B$67,2))</f>
        <v>22ª VT Recife</v>
      </c>
      <c r="D266" s="15"/>
      <c r="E266" s="16"/>
      <c r="F266" s="15">
        <v>0</v>
      </c>
      <c r="G266" s="15">
        <v>4</v>
      </c>
      <c r="H266" s="15">
        <v>0</v>
      </c>
      <c r="I266" s="17">
        <f>SUM(F266:H266)</f>
        <v>4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f>SUM(J266:O266)</f>
        <v>0</v>
      </c>
      <c r="Q266" s="15">
        <v>0</v>
      </c>
      <c r="R266" s="15">
        <v>4</v>
      </c>
      <c r="S266" s="15">
        <v>0</v>
      </c>
      <c r="T266" s="15">
        <v>0</v>
      </c>
      <c r="U266" s="15">
        <v>0</v>
      </c>
      <c r="V266" s="18"/>
      <c r="W266" s="18"/>
      <c r="X266" s="30"/>
      <c r="Y266" s="30"/>
      <c r="Z266" s="30"/>
      <c r="AA266" s="30"/>
      <c r="AB266" s="34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</row>
    <row r="267" spans="1:41" s="39" customFormat="1" ht="19.5" customHeight="1">
      <c r="A267" s="32">
        <v>61</v>
      </c>
      <c r="B267" s="139"/>
      <c r="C267" s="106" t="str">
        <f>IF(A267="","VARA",VLOOKUP(A267,'[1]varas'!$A$4:$B$67,2))</f>
        <v>VT Vitória</v>
      </c>
      <c r="D267" s="15"/>
      <c r="E267" s="16"/>
      <c r="F267" s="15">
        <f>45+47+32+45</f>
        <v>169</v>
      </c>
      <c r="G267" s="15">
        <v>1</v>
      </c>
      <c r="H267" s="15">
        <v>1</v>
      </c>
      <c r="I267" s="17">
        <f>SUM(F267:H267)</f>
        <v>171</v>
      </c>
      <c r="J267" s="15">
        <v>26</v>
      </c>
      <c r="K267" s="15">
        <v>21</v>
      </c>
      <c r="L267" s="15">
        <v>32</v>
      </c>
      <c r="M267" s="15">
        <v>45</v>
      </c>
      <c r="N267" s="15">
        <v>0</v>
      </c>
      <c r="O267" s="15">
        <v>47</v>
      </c>
      <c r="P267" s="15">
        <f>SUM(J267:O267)</f>
        <v>171</v>
      </c>
      <c r="Q267" s="15">
        <v>0</v>
      </c>
      <c r="R267" s="15">
        <v>0</v>
      </c>
      <c r="S267" s="15">
        <v>0</v>
      </c>
      <c r="T267" s="15">
        <v>0</v>
      </c>
      <c r="U267" s="15">
        <v>160</v>
      </c>
      <c r="V267" s="18"/>
      <c r="W267" s="18"/>
      <c r="X267" s="30"/>
      <c r="Y267" s="30"/>
      <c r="Z267" s="30"/>
      <c r="AA267" s="30"/>
      <c r="AB267" s="34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</row>
    <row r="268" spans="1:41" s="53" customFormat="1" ht="21" customHeight="1">
      <c r="A268" s="47"/>
      <c r="B268" s="135"/>
      <c r="C268" s="106" t="s">
        <v>12</v>
      </c>
      <c r="D268" s="24"/>
      <c r="E268" s="48"/>
      <c r="F268" s="24">
        <f>SUM(F265:F267)</f>
        <v>169</v>
      </c>
      <c r="G268" s="24">
        <f>SUM(G265:G267)</f>
        <v>5</v>
      </c>
      <c r="H268" s="24">
        <f>SUM(H265:H267)</f>
        <v>1</v>
      </c>
      <c r="I268" s="40">
        <f>SUM(F268:H268)</f>
        <v>175</v>
      </c>
      <c r="J268" s="24">
        <f aca="true" t="shared" si="76" ref="J268:O268">SUM(J265:J267)</f>
        <v>26</v>
      </c>
      <c r="K268" s="24">
        <f t="shared" si="76"/>
        <v>21</v>
      </c>
      <c r="L268" s="24">
        <f t="shared" si="76"/>
        <v>32</v>
      </c>
      <c r="M268" s="24">
        <f t="shared" si="76"/>
        <v>45</v>
      </c>
      <c r="N268" s="24">
        <f t="shared" si="76"/>
        <v>0</v>
      </c>
      <c r="O268" s="24">
        <f t="shared" si="76"/>
        <v>47</v>
      </c>
      <c r="P268" s="24">
        <f>SUM(J268:O268)</f>
        <v>171</v>
      </c>
      <c r="Q268" s="24">
        <f>SUM(Q265:Q267)</f>
        <v>0</v>
      </c>
      <c r="R268" s="24">
        <f>SUM(R265:R267)</f>
        <v>4</v>
      </c>
      <c r="S268" s="24">
        <f>SUM(S265:S267)</f>
        <v>0</v>
      </c>
      <c r="T268" s="24">
        <f>SUM(T265:T267)</f>
        <v>0</v>
      </c>
      <c r="U268" s="24">
        <f>SUM(U265:U267)</f>
        <v>160</v>
      </c>
      <c r="V268" s="26">
        <f>IF(I268-Q268=0,"",IF(D268="",(P268+S268)/(I268-Q268),IF(AND(D268&lt;&gt;"",(P268+S268)/(I268-Q268)&gt;=50%),(P268+S268)/(I268-Q268),"")))</f>
        <v>0.9771428571428571</v>
      </c>
      <c r="W268" s="26">
        <f>IF(I268=O268,"",IF(V268="",0,(P268+Q268+S268-O268)/(I268-O268)))</f>
        <v>0.96875</v>
      </c>
      <c r="X268" s="49"/>
      <c r="Y268" s="49"/>
      <c r="Z268" s="49"/>
      <c r="AA268" s="49"/>
      <c r="AB268" s="50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</row>
    <row r="269" spans="1:41" s="39" customFormat="1" ht="24" customHeight="1">
      <c r="A269" s="32"/>
      <c r="B269" s="138" t="s">
        <v>87</v>
      </c>
      <c r="C269" s="105" t="s">
        <v>2</v>
      </c>
      <c r="D269" s="29"/>
      <c r="E269" s="16" t="s">
        <v>27</v>
      </c>
      <c r="F269" s="15"/>
      <c r="G269" s="15"/>
      <c r="H269" s="15"/>
      <c r="I269" s="17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8"/>
      <c r="X269" s="30"/>
      <c r="Y269" s="30"/>
      <c r="Z269" s="30"/>
      <c r="AA269" s="30"/>
      <c r="AB269" s="34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</row>
    <row r="270" spans="1:41" s="39" customFormat="1" ht="21" customHeight="1">
      <c r="A270" s="32">
        <v>24</v>
      </c>
      <c r="B270" s="139"/>
      <c r="C270" s="106" t="str">
        <f>IF(A270="","VARA",VLOOKUP(A270,'[1]varas'!$A$4:$B$67,2))</f>
        <v>1ª VT Barreiros</v>
      </c>
      <c r="D270" s="29"/>
      <c r="E270" s="16"/>
      <c r="F270" s="15">
        <f>37+16+9+2</f>
        <v>64</v>
      </c>
      <c r="G270" s="15">
        <v>3</v>
      </c>
      <c r="H270" s="15">
        <v>0</v>
      </c>
      <c r="I270" s="17">
        <f>SUM(F270:H270)</f>
        <v>67</v>
      </c>
      <c r="J270" s="15">
        <v>19</v>
      </c>
      <c r="K270" s="15">
        <v>8</v>
      </c>
      <c r="L270" s="15">
        <v>9</v>
      </c>
      <c r="M270" s="15">
        <v>2</v>
      </c>
      <c r="N270" s="15">
        <v>0</v>
      </c>
      <c r="O270" s="15">
        <v>16</v>
      </c>
      <c r="P270" s="15">
        <f>SUM(J270:O270)</f>
        <v>54</v>
      </c>
      <c r="Q270" s="15">
        <v>13</v>
      </c>
      <c r="R270" s="15">
        <v>0</v>
      </c>
      <c r="S270" s="15">
        <v>0</v>
      </c>
      <c r="T270" s="15">
        <v>0</v>
      </c>
      <c r="U270" s="15">
        <v>129</v>
      </c>
      <c r="V270" s="18"/>
      <c r="W270" s="18"/>
      <c r="X270" s="30"/>
      <c r="Y270" s="30"/>
      <c r="Z270" s="30"/>
      <c r="AA270" s="30"/>
      <c r="AB270" s="34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</row>
    <row r="271" spans="1:41" s="39" customFormat="1" ht="18" customHeight="1">
      <c r="A271" s="32"/>
      <c r="B271" s="135"/>
      <c r="C271" s="107" t="s">
        <v>12</v>
      </c>
      <c r="D271" s="33"/>
      <c r="E271" s="23"/>
      <c r="F271" s="24">
        <f>SUM(F269:F270)</f>
        <v>64</v>
      </c>
      <c r="G271" s="24">
        <f>SUM(G269:G270)</f>
        <v>3</v>
      </c>
      <c r="H271" s="24">
        <f>SUM(H269:H270)</f>
        <v>0</v>
      </c>
      <c r="I271" s="40">
        <f>SUM(F271:H271)</f>
        <v>67</v>
      </c>
      <c r="J271" s="24">
        <f aca="true" t="shared" si="77" ref="J271:O271">SUM(J269:J270)</f>
        <v>19</v>
      </c>
      <c r="K271" s="24">
        <f t="shared" si="77"/>
        <v>8</v>
      </c>
      <c r="L271" s="24">
        <f t="shared" si="77"/>
        <v>9</v>
      </c>
      <c r="M271" s="24">
        <f t="shared" si="77"/>
        <v>2</v>
      </c>
      <c r="N271" s="24">
        <f t="shared" si="77"/>
        <v>0</v>
      </c>
      <c r="O271" s="24">
        <f t="shared" si="77"/>
        <v>16</v>
      </c>
      <c r="P271" s="24">
        <f>SUM(J271:O271)</f>
        <v>54</v>
      </c>
      <c r="Q271" s="24">
        <f>SUM(Q269:Q270)</f>
        <v>13</v>
      </c>
      <c r="R271" s="24">
        <f>SUM(R269:R270)</f>
        <v>0</v>
      </c>
      <c r="S271" s="24">
        <f>SUM(S269:S270)</f>
        <v>0</v>
      </c>
      <c r="T271" s="24">
        <f>SUM(T269:T270)</f>
        <v>0</v>
      </c>
      <c r="U271" s="24">
        <f>SUM(U269:U270)</f>
        <v>129</v>
      </c>
      <c r="V271" s="26">
        <f>IF(I271-Q271=0,"",IF(D271="",(P271+S271)/(I271-Q271),IF(AND(D271&lt;&gt;"",(P271+S271)/(I271-Q271)&gt;=50%),(P271+S271)/(I271-Q271),"")))</f>
        <v>1</v>
      </c>
      <c r="W271" s="26">
        <f>IF(I271=O271,"",IF(V271="",0,(P271+Q271+S271-O271)/(I271-O271)))</f>
        <v>1</v>
      </c>
      <c r="X271" s="30"/>
      <c r="Y271" s="30"/>
      <c r="Z271" s="30"/>
      <c r="AA271" s="30"/>
      <c r="AB271" s="34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</row>
    <row r="272" spans="1:41" s="39" customFormat="1" ht="22.5" customHeight="1">
      <c r="A272" s="32"/>
      <c r="B272" s="130" t="s">
        <v>88</v>
      </c>
      <c r="C272" s="14" t="s">
        <v>2</v>
      </c>
      <c r="D272" s="29" t="s">
        <v>30</v>
      </c>
      <c r="E272" s="16" t="s">
        <v>207</v>
      </c>
      <c r="F272" s="15"/>
      <c r="G272" s="15"/>
      <c r="H272" s="15"/>
      <c r="I272" s="17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8"/>
      <c r="X272" s="30"/>
      <c r="Y272" s="30"/>
      <c r="Z272" s="30"/>
      <c r="AA272" s="30"/>
      <c r="AB272" s="34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</row>
    <row r="273" spans="1:41" s="39" customFormat="1" ht="19.5" customHeight="1">
      <c r="A273" s="32">
        <v>46</v>
      </c>
      <c r="B273" s="137"/>
      <c r="C273" s="20" t="str">
        <f>IF(A273="","VARA",VLOOKUP(A273,'[1]varas'!$A$4:$B$67,2))</f>
        <v>VT Belo Jardim</v>
      </c>
      <c r="D273" s="15"/>
      <c r="E273" s="16"/>
      <c r="F273" s="15">
        <f>34+20+5</f>
        <v>59</v>
      </c>
      <c r="G273" s="15">
        <v>0</v>
      </c>
      <c r="H273" s="15">
        <v>0</v>
      </c>
      <c r="I273" s="17">
        <f>SUM(F273:H273)</f>
        <v>59</v>
      </c>
      <c r="J273" s="15">
        <v>21</v>
      </c>
      <c r="K273" s="15">
        <v>13</v>
      </c>
      <c r="L273" s="15">
        <v>3</v>
      </c>
      <c r="M273" s="15">
        <v>2</v>
      </c>
      <c r="N273" s="15">
        <v>0</v>
      </c>
      <c r="O273" s="15">
        <v>20</v>
      </c>
      <c r="P273" s="15">
        <f>SUM(J273:O273)</f>
        <v>59</v>
      </c>
      <c r="Q273" s="15">
        <v>0</v>
      </c>
      <c r="R273" s="15">
        <v>0</v>
      </c>
      <c r="S273" s="15">
        <v>0</v>
      </c>
      <c r="T273" s="15">
        <v>0</v>
      </c>
      <c r="U273" s="15">
        <v>79</v>
      </c>
      <c r="V273" s="18"/>
      <c r="W273" s="18"/>
      <c r="X273" s="30"/>
      <c r="Y273" s="30"/>
      <c r="Z273" s="30"/>
      <c r="AA273" s="30"/>
      <c r="AB273" s="34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</row>
    <row r="274" spans="1:41" s="53" customFormat="1" ht="15.75" customHeight="1">
      <c r="A274" s="47"/>
      <c r="B274" s="131"/>
      <c r="C274" s="21" t="s">
        <v>12</v>
      </c>
      <c r="D274" s="51"/>
      <c r="E274" s="52"/>
      <c r="F274" s="24">
        <f>SUM(F272:F273)</f>
        <v>59</v>
      </c>
      <c r="G274" s="24">
        <f>SUM(G272:G273)</f>
        <v>0</v>
      </c>
      <c r="H274" s="24">
        <f>SUM(H272:H273)</f>
        <v>0</v>
      </c>
      <c r="I274" s="25">
        <f>SUM(F274:H274)</f>
        <v>59</v>
      </c>
      <c r="J274" s="24">
        <f aca="true" t="shared" si="78" ref="J274:O274">SUM(J272:J273)</f>
        <v>21</v>
      </c>
      <c r="K274" s="24">
        <f t="shared" si="78"/>
        <v>13</v>
      </c>
      <c r="L274" s="24">
        <f t="shared" si="78"/>
        <v>3</v>
      </c>
      <c r="M274" s="24">
        <f t="shared" si="78"/>
        <v>2</v>
      </c>
      <c r="N274" s="24">
        <f t="shared" si="78"/>
        <v>0</v>
      </c>
      <c r="O274" s="24">
        <f t="shared" si="78"/>
        <v>20</v>
      </c>
      <c r="P274" s="24">
        <f>SUM(J274:O274)</f>
        <v>59</v>
      </c>
      <c r="Q274" s="24">
        <f>SUM(Q272:Q273)</f>
        <v>0</v>
      </c>
      <c r="R274" s="24">
        <f>SUM(R272:R273)</f>
        <v>0</v>
      </c>
      <c r="S274" s="24">
        <f>SUM(S272:S273)</f>
        <v>0</v>
      </c>
      <c r="T274" s="24">
        <f>SUM(T272:T273)</f>
        <v>0</v>
      </c>
      <c r="U274" s="24">
        <f>SUM(U272:U273)</f>
        <v>79</v>
      </c>
      <c r="V274" s="26">
        <f>IF(I274-Q274=0,"",IF(D274="",(P274+S274)/(I274-Q274),IF(AND(D274&lt;&gt;"",(P274+S274)/(I274-Q274)&gt;=50%),(P274+S274)/(I274-Q274),"")))</f>
        <v>1</v>
      </c>
      <c r="W274" s="26">
        <f>IF(I274=O274,"",IF(V274="",0,(P274+Q274+S274-O274)/(I274-O274)))</f>
        <v>1</v>
      </c>
      <c r="X274" s="49"/>
      <c r="Y274" s="49"/>
      <c r="Z274" s="49"/>
      <c r="AA274" s="49"/>
      <c r="AB274" s="50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</row>
    <row r="275" spans="1:41" s="39" customFormat="1" ht="22.5" customHeight="1">
      <c r="A275" s="32"/>
      <c r="B275" s="138" t="s">
        <v>89</v>
      </c>
      <c r="C275" s="105" t="s">
        <v>2</v>
      </c>
      <c r="D275" s="29" t="s">
        <v>191</v>
      </c>
      <c r="E275" s="16" t="s">
        <v>213</v>
      </c>
      <c r="F275" s="15"/>
      <c r="G275" s="15"/>
      <c r="H275" s="15"/>
      <c r="I275" s="17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8"/>
      <c r="X275" s="30"/>
      <c r="Y275" s="30"/>
      <c r="Z275" s="30"/>
      <c r="AA275" s="30"/>
      <c r="AB275" s="34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</row>
    <row r="276" spans="1:41" s="39" customFormat="1" ht="22.5" customHeight="1">
      <c r="A276" s="32">
        <v>15</v>
      </c>
      <c r="B276" s="140"/>
      <c r="C276" s="106" t="str">
        <f>IF(A276="","VARA",VLOOKUP(A276,'[1]varas'!$A$4:$B$67,2))</f>
        <v>15ª VT Recife</v>
      </c>
      <c r="D276" s="15"/>
      <c r="E276" s="16"/>
      <c r="F276" s="15">
        <f>13+5+2+5</f>
        <v>25</v>
      </c>
      <c r="G276" s="15">
        <v>9</v>
      </c>
      <c r="H276" s="15">
        <v>1</v>
      </c>
      <c r="I276" s="17">
        <f>SUM(F276:H276)</f>
        <v>35</v>
      </c>
      <c r="J276" s="15">
        <v>19</v>
      </c>
      <c r="K276" s="15">
        <v>2</v>
      </c>
      <c r="L276" s="15">
        <v>2</v>
      </c>
      <c r="M276" s="15">
        <v>4</v>
      </c>
      <c r="N276" s="15">
        <v>1</v>
      </c>
      <c r="O276" s="15">
        <v>5</v>
      </c>
      <c r="P276" s="15">
        <f>SUM(J276:O276)</f>
        <v>33</v>
      </c>
      <c r="Q276" s="15">
        <v>1</v>
      </c>
      <c r="R276" s="15">
        <v>1</v>
      </c>
      <c r="S276" s="15">
        <v>0</v>
      </c>
      <c r="T276" s="15">
        <v>0</v>
      </c>
      <c r="U276" s="15">
        <v>38</v>
      </c>
      <c r="V276" s="18"/>
      <c r="W276" s="18"/>
      <c r="X276" s="30"/>
      <c r="Y276" s="30"/>
      <c r="Z276" s="30"/>
      <c r="AA276" s="30"/>
      <c r="AB276" s="34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</row>
    <row r="277" spans="1:41" s="39" customFormat="1" ht="18.75" customHeight="1">
      <c r="A277" s="32"/>
      <c r="B277" s="135"/>
      <c r="C277" s="107" t="s">
        <v>12</v>
      </c>
      <c r="D277" s="33"/>
      <c r="E277" s="23"/>
      <c r="F277" s="24">
        <f>SUM(F275:F276)</f>
        <v>25</v>
      </c>
      <c r="G277" s="24">
        <f>SUM(G275:G276)</f>
        <v>9</v>
      </c>
      <c r="H277" s="24">
        <f>SUM(H275:H276)</f>
        <v>1</v>
      </c>
      <c r="I277" s="40">
        <f>SUM(F277:H277)</f>
        <v>35</v>
      </c>
      <c r="J277" s="24">
        <f aca="true" t="shared" si="79" ref="J277:O277">SUM(J275:J276)</f>
        <v>19</v>
      </c>
      <c r="K277" s="24">
        <f t="shared" si="79"/>
        <v>2</v>
      </c>
      <c r="L277" s="24">
        <f t="shared" si="79"/>
        <v>2</v>
      </c>
      <c r="M277" s="24">
        <f t="shared" si="79"/>
        <v>4</v>
      </c>
      <c r="N277" s="24">
        <f t="shared" si="79"/>
        <v>1</v>
      </c>
      <c r="O277" s="24">
        <f t="shared" si="79"/>
        <v>5</v>
      </c>
      <c r="P277" s="24">
        <f>SUM(J277:O277)</f>
        <v>33</v>
      </c>
      <c r="Q277" s="24">
        <f>SUM(Q275:Q276)</f>
        <v>1</v>
      </c>
      <c r="R277" s="24">
        <f>SUM(R275:R276)</f>
        <v>1</v>
      </c>
      <c r="S277" s="24">
        <f>SUM(S275:S276)</f>
        <v>0</v>
      </c>
      <c r="T277" s="24">
        <f>SUM(T275:T276)</f>
        <v>0</v>
      </c>
      <c r="U277" s="24">
        <f>SUM(U275:U276)</f>
        <v>38</v>
      </c>
      <c r="V277" s="26">
        <f>IF(I277-Q277=0,"",IF(D277="",(P277+S277)/(I277-Q277),IF(AND(D277&lt;&gt;"",(P277+S277)/(I277-Q277)&gt;=50%),(P277+S277)/(I277-Q277),"")))</f>
        <v>0.9705882352941176</v>
      </c>
      <c r="W277" s="26">
        <f>IF(I277=O277,"",IF(V277="",0,(P277+Q277+S277-O277)/(I277-O277)))</f>
        <v>0.9666666666666667</v>
      </c>
      <c r="X277" s="30"/>
      <c r="Y277" s="30"/>
      <c r="Z277" s="30"/>
      <c r="AA277" s="30"/>
      <c r="AB277" s="34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</row>
    <row r="278" spans="1:41" s="39" customFormat="1" ht="19.5" customHeight="1">
      <c r="A278" s="32"/>
      <c r="B278" s="138" t="s">
        <v>90</v>
      </c>
      <c r="C278" s="105" t="s">
        <v>2</v>
      </c>
      <c r="D278" s="15"/>
      <c r="E278" s="16" t="s">
        <v>27</v>
      </c>
      <c r="F278" s="15"/>
      <c r="G278" s="15"/>
      <c r="H278" s="15"/>
      <c r="I278" s="17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8"/>
      <c r="X278" s="30"/>
      <c r="Y278" s="30"/>
      <c r="Z278" s="30"/>
      <c r="AA278" s="30"/>
      <c r="AB278" s="34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</row>
    <row r="279" spans="1:41" s="39" customFormat="1" ht="19.5" customHeight="1">
      <c r="A279" s="32">
        <v>41</v>
      </c>
      <c r="B279" s="139"/>
      <c r="C279" s="106" t="str">
        <f>IF(A279="","VARA",VLOOKUP(A279,'[1]varas'!$A$4:$B$67,2))</f>
        <v>1ª VT Paulista</v>
      </c>
      <c r="D279" s="15"/>
      <c r="E279" s="16"/>
      <c r="F279" s="15">
        <f>23+33+7</f>
        <v>63</v>
      </c>
      <c r="G279" s="15">
        <v>0</v>
      </c>
      <c r="H279" s="15">
        <v>16</v>
      </c>
      <c r="I279" s="17">
        <f>SUM(F279:H279)</f>
        <v>79</v>
      </c>
      <c r="J279" s="15">
        <v>21</v>
      </c>
      <c r="K279" s="15">
        <v>2</v>
      </c>
      <c r="L279" s="15">
        <v>7</v>
      </c>
      <c r="M279" s="15">
        <v>0</v>
      </c>
      <c r="N279" s="15">
        <v>0</v>
      </c>
      <c r="O279" s="15">
        <v>33</v>
      </c>
      <c r="P279" s="15">
        <f>SUM(J279:O279)</f>
        <v>63</v>
      </c>
      <c r="Q279" s="15">
        <v>2</v>
      </c>
      <c r="R279" s="15">
        <v>14</v>
      </c>
      <c r="S279" s="15">
        <v>0</v>
      </c>
      <c r="T279" s="15">
        <v>0</v>
      </c>
      <c r="U279" s="15">
        <v>110</v>
      </c>
      <c r="V279" s="18"/>
      <c r="W279" s="18"/>
      <c r="X279" s="30"/>
      <c r="Y279" s="30"/>
      <c r="Z279" s="30"/>
      <c r="AA279" s="30"/>
      <c r="AB279" s="34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</row>
    <row r="280" spans="1:41" s="53" customFormat="1" ht="20.25" customHeight="1">
      <c r="A280" s="47"/>
      <c r="B280" s="135"/>
      <c r="C280" s="107" t="s">
        <v>12</v>
      </c>
      <c r="D280" s="51"/>
      <c r="E280" s="52"/>
      <c r="F280" s="24">
        <f>SUM(F278:F279)</f>
        <v>63</v>
      </c>
      <c r="G280" s="24">
        <f>SUM(G278:G279)</f>
        <v>0</v>
      </c>
      <c r="H280" s="24">
        <f>SUM(H278:H279)</f>
        <v>16</v>
      </c>
      <c r="I280" s="25">
        <f>SUM(F280:H280)</f>
        <v>79</v>
      </c>
      <c r="J280" s="24">
        <f aca="true" t="shared" si="80" ref="J280:O280">SUM(J278:J279)</f>
        <v>21</v>
      </c>
      <c r="K280" s="24">
        <f t="shared" si="80"/>
        <v>2</v>
      </c>
      <c r="L280" s="24">
        <f t="shared" si="80"/>
        <v>7</v>
      </c>
      <c r="M280" s="24">
        <f t="shared" si="80"/>
        <v>0</v>
      </c>
      <c r="N280" s="24">
        <f t="shared" si="80"/>
        <v>0</v>
      </c>
      <c r="O280" s="24">
        <f t="shared" si="80"/>
        <v>33</v>
      </c>
      <c r="P280" s="24">
        <f>SUM(J280:O280)</f>
        <v>63</v>
      </c>
      <c r="Q280" s="24">
        <f>SUM(Q278:Q279)</f>
        <v>2</v>
      </c>
      <c r="R280" s="24">
        <f>SUM(R278:R279)</f>
        <v>14</v>
      </c>
      <c r="S280" s="24">
        <f>SUM(S278:S279)</f>
        <v>0</v>
      </c>
      <c r="T280" s="24">
        <f>SUM(T278:T279)</f>
        <v>0</v>
      </c>
      <c r="U280" s="24">
        <f>SUM(U278:U279)</f>
        <v>110</v>
      </c>
      <c r="V280" s="26">
        <f>IF(I280-Q280=0,"",IF(D280="",(P280+S280)/(I280-Q280),IF(AND(D280&lt;&gt;"",(P280+S280)/(I280-Q280)&gt;=50%),(P280+S280)/(I280-Q280),"")))</f>
        <v>0.8181818181818182</v>
      </c>
      <c r="W280" s="26">
        <f>IF(I280=O280,"",IF(V280="",0,(P280+Q280+S280-O280)/(I280-O280)))</f>
        <v>0.6956521739130435</v>
      </c>
      <c r="X280" s="49"/>
      <c r="Y280" s="49"/>
      <c r="Z280" s="49"/>
      <c r="AA280" s="49"/>
      <c r="AB280" s="50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</row>
    <row r="281" spans="1:41" s="39" customFormat="1" ht="18" customHeight="1">
      <c r="A281" s="32"/>
      <c r="B281" s="138" t="s">
        <v>91</v>
      </c>
      <c r="C281" s="105" t="s">
        <v>2</v>
      </c>
      <c r="D281" s="29" t="s">
        <v>30</v>
      </c>
      <c r="E281" s="16" t="s">
        <v>214</v>
      </c>
      <c r="F281" s="15"/>
      <c r="G281" s="15"/>
      <c r="H281" s="15"/>
      <c r="I281" s="17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8"/>
      <c r="X281" s="30"/>
      <c r="Y281" s="30"/>
      <c r="Z281" s="30"/>
      <c r="AA281" s="30"/>
      <c r="AB281" s="34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</row>
    <row r="282" spans="1:41" s="39" customFormat="1" ht="18" customHeight="1">
      <c r="A282" s="32">
        <v>41</v>
      </c>
      <c r="B282" s="140"/>
      <c r="C282" s="106" t="str">
        <f>IF(A282="","VARA",VLOOKUP(A282,'[1]varas'!$A$4:$B$67,2))</f>
        <v>1ª VT Paulista</v>
      </c>
      <c r="D282" s="15"/>
      <c r="E282" s="16"/>
      <c r="F282" s="15">
        <v>1</v>
      </c>
      <c r="G282" s="15">
        <v>0</v>
      </c>
      <c r="H282" s="15">
        <v>0</v>
      </c>
      <c r="I282" s="17">
        <f>SUM(F282:H282)</f>
        <v>1</v>
      </c>
      <c r="J282" s="15">
        <v>0</v>
      </c>
      <c r="K282" s="15">
        <v>0</v>
      </c>
      <c r="L282" s="15">
        <v>1</v>
      </c>
      <c r="M282" s="15">
        <v>0</v>
      </c>
      <c r="N282" s="15">
        <v>0</v>
      </c>
      <c r="O282" s="15">
        <v>0</v>
      </c>
      <c r="P282" s="15">
        <f>SUM(J282:O282)</f>
        <v>1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8"/>
      <c r="W282" s="18"/>
      <c r="X282" s="30"/>
      <c r="Y282" s="30"/>
      <c r="Z282" s="30"/>
      <c r="AA282" s="30"/>
      <c r="AB282" s="34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</row>
    <row r="283" spans="1:41" s="39" customFormat="1" ht="21" customHeight="1">
      <c r="A283" s="32">
        <v>42</v>
      </c>
      <c r="B283" s="139"/>
      <c r="C283" s="106" t="str">
        <f>IF(A283="","VARA",VLOOKUP(A283,'[1]varas'!$A$4:$B$67,2))</f>
        <v>2ª VT Paulista</v>
      </c>
      <c r="D283" s="15"/>
      <c r="E283" s="16"/>
      <c r="F283" s="15">
        <f>12+7+1</f>
        <v>20</v>
      </c>
      <c r="G283" s="15">
        <v>1</v>
      </c>
      <c r="H283" s="15">
        <v>0</v>
      </c>
      <c r="I283" s="17">
        <f>SUM(F283:H283)</f>
        <v>21</v>
      </c>
      <c r="J283" s="15">
        <v>1</v>
      </c>
      <c r="K283" s="15">
        <v>4</v>
      </c>
      <c r="L283" s="15">
        <v>0</v>
      </c>
      <c r="M283" s="15">
        <v>1</v>
      </c>
      <c r="N283" s="15">
        <v>0</v>
      </c>
      <c r="O283" s="15">
        <v>7</v>
      </c>
      <c r="P283" s="15">
        <f>SUM(J283:O283)</f>
        <v>13</v>
      </c>
      <c r="Q283" s="15">
        <v>8</v>
      </c>
      <c r="R283" s="15">
        <v>0</v>
      </c>
      <c r="S283" s="15">
        <v>0</v>
      </c>
      <c r="T283" s="15">
        <v>0</v>
      </c>
      <c r="U283" s="15">
        <v>25</v>
      </c>
      <c r="V283" s="18"/>
      <c r="W283" s="18"/>
      <c r="X283" s="30"/>
      <c r="Y283" s="30"/>
      <c r="Z283" s="30"/>
      <c r="AA283" s="30"/>
      <c r="AB283" s="34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</row>
    <row r="284" spans="1:41" s="53" customFormat="1" ht="18.75" customHeight="1">
      <c r="A284" s="47"/>
      <c r="B284" s="135"/>
      <c r="C284" s="107" t="s">
        <v>12</v>
      </c>
      <c r="D284" s="51"/>
      <c r="E284" s="52"/>
      <c r="F284" s="24">
        <f>SUM(F281:F283)</f>
        <v>21</v>
      </c>
      <c r="G284" s="24">
        <f>SUM(G281:G283)</f>
        <v>1</v>
      </c>
      <c r="H284" s="24">
        <f>SUM(H281:H283)</f>
        <v>0</v>
      </c>
      <c r="I284" s="25">
        <f>SUM(F284:H284)</f>
        <v>22</v>
      </c>
      <c r="J284" s="24">
        <f aca="true" t="shared" si="81" ref="J284:O284">SUM(J281:J283)</f>
        <v>1</v>
      </c>
      <c r="K284" s="24">
        <f t="shared" si="81"/>
        <v>4</v>
      </c>
      <c r="L284" s="24">
        <f t="shared" si="81"/>
        <v>1</v>
      </c>
      <c r="M284" s="24">
        <f t="shared" si="81"/>
        <v>1</v>
      </c>
      <c r="N284" s="24">
        <f t="shared" si="81"/>
        <v>0</v>
      </c>
      <c r="O284" s="24">
        <f t="shared" si="81"/>
        <v>7</v>
      </c>
      <c r="P284" s="24">
        <f>SUM(J284:O284)</f>
        <v>14</v>
      </c>
      <c r="Q284" s="24">
        <f>SUM(Q281:Q283)</f>
        <v>8</v>
      </c>
      <c r="R284" s="24">
        <f>SUM(R281:R283)</f>
        <v>0</v>
      </c>
      <c r="S284" s="24">
        <f>SUM(S281:S283)</f>
        <v>0</v>
      </c>
      <c r="T284" s="24">
        <f>SUM(T281:T283)</f>
        <v>0</v>
      </c>
      <c r="U284" s="24">
        <f>SUM(U281:U283)</f>
        <v>25</v>
      </c>
      <c r="V284" s="26">
        <f>IF(I284-Q284=0,"",IF(D284="",(P284+S284)/(I284-Q284),IF(AND(D284&lt;&gt;"",(P284+S284)/(I284-Q284)&gt;=50%),(P284+S284)/(I284-Q284),"")))</f>
        <v>1</v>
      </c>
      <c r="W284" s="26">
        <f>IF(I284=O284,"",IF(V284="",0,(P284+Q284+S284-O284)/(I284-O284)))</f>
        <v>1</v>
      </c>
      <c r="X284" s="49"/>
      <c r="Y284" s="49"/>
      <c r="Z284" s="49"/>
      <c r="AA284" s="49"/>
      <c r="AB284" s="50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</row>
    <row r="285" spans="1:41" s="39" customFormat="1" ht="28.5" customHeight="1">
      <c r="A285" s="32"/>
      <c r="B285" s="132" t="s">
        <v>92</v>
      </c>
      <c r="C285" s="105" t="s">
        <v>2</v>
      </c>
      <c r="D285" s="29" t="s">
        <v>187</v>
      </c>
      <c r="E285" s="16" t="s">
        <v>236</v>
      </c>
      <c r="F285" s="15"/>
      <c r="G285" s="15"/>
      <c r="H285" s="15"/>
      <c r="I285" s="17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8"/>
      <c r="X285" s="30"/>
      <c r="Y285" s="30"/>
      <c r="Z285" s="30"/>
      <c r="AA285" s="30"/>
      <c r="AB285" s="34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</row>
    <row r="286" spans="1:41" s="39" customFormat="1" ht="26.25" customHeight="1">
      <c r="A286" s="32">
        <v>47</v>
      </c>
      <c r="B286" s="134"/>
      <c r="C286" s="106" t="str">
        <f>IF(A286="","VARA",VLOOKUP(A286,'[1]varas'!$A$4:$B$67,2))</f>
        <v>VT Carpina</v>
      </c>
      <c r="D286" s="15"/>
      <c r="E286" s="16"/>
      <c r="F286" s="15">
        <v>0</v>
      </c>
      <c r="G286" s="15">
        <v>3</v>
      </c>
      <c r="H286" s="15">
        <v>0</v>
      </c>
      <c r="I286" s="17">
        <f>SUM(F286:H286)</f>
        <v>3</v>
      </c>
      <c r="J286" s="15">
        <v>2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f>SUM(J286:O286)</f>
        <v>2</v>
      </c>
      <c r="Q286" s="15">
        <v>1</v>
      </c>
      <c r="R286" s="15">
        <v>0</v>
      </c>
      <c r="S286" s="15">
        <v>0</v>
      </c>
      <c r="T286" s="15">
        <v>0</v>
      </c>
      <c r="U286" s="15">
        <v>0</v>
      </c>
      <c r="V286" s="18"/>
      <c r="W286" s="18"/>
      <c r="X286" s="30"/>
      <c r="Y286" s="30"/>
      <c r="Z286" s="30"/>
      <c r="AA286" s="30"/>
      <c r="AB286" s="34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</row>
    <row r="287" spans="1:41" s="53" customFormat="1" ht="21" customHeight="1">
      <c r="A287" s="47"/>
      <c r="B287" s="135"/>
      <c r="C287" s="107" t="s">
        <v>12</v>
      </c>
      <c r="D287" s="51"/>
      <c r="E287" s="52"/>
      <c r="F287" s="24">
        <f>SUM(F285:F286)</f>
        <v>0</v>
      </c>
      <c r="G287" s="24">
        <f>SUM(G285:G286)</f>
        <v>3</v>
      </c>
      <c r="H287" s="24">
        <f>SUM(H285:H286)</f>
        <v>0</v>
      </c>
      <c r="I287" s="25">
        <f>SUM(F287:H287)</f>
        <v>3</v>
      </c>
      <c r="J287" s="24">
        <f aca="true" t="shared" si="82" ref="J287:O287">SUM(J285:J286)</f>
        <v>2</v>
      </c>
      <c r="K287" s="24">
        <f t="shared" si="82"/>
        <v>0</v>
      </c>
      <c r="L287" s="24">
        <f t="shared" si="82"/>
        <v>0</v>
      </c>
      <c r="M287" s="24">
        <f t="shared" si="82"/>
        <v>0</v>
      </c>
      <c r="N287" s="24">
        <f t="shared" si="82"/>
        <v>0</v>
      </c>
      <c r="O287" s="24">
        <f t="shared" si="82"/>
        <v>0</v>
      </c>
      <c r="P287" s="24">
        <f>SUM(J287:O287)</f>
        <v>2</v>
      </c>
      <c r="Q287" s="24">
        <f>SUM(Q285:Q286)</f>
        <v>1</v>
      </c>
      <c r="R287" s="24">
        <f>SUM(R285:R286)</f>
        <v>0</v>
      </c>
      <c r="S287" s="24">
        <f>SUM(S285:S286)</f>
        <v>0</v>
      </c>
      <c r="T287" s="24">
        <f>SUM(T285:T286)</f>
        <v>0</v>
      </c>
      <c r="U287" s="24">
        <f>SUM(U285:U286)</f>
        <v>0</v>
      </c>
      <c r="V287" s="26">
        <f>IF(I287-Q287=0,"",IF(D287="",(P287+S287)/(I287-Q287),IF(AND(D287&lt;&gt;"",(P287+S287)/(I287-Q287)&gt;=50%),(P287+S287)/(I287-Q287),"")))</f>
        <v>1</v>
      </c>
      <c r="W287" s="26">
        <f>IF(I287=O287,"",IF(V287="",0,(P287+Q287+S287-O287)/(I287-O287)))</f>
        <v>1</v>
      </c>
      <c r="X287" s="49"/>
      <c r="Y287" s="49"/>
      <c r="Z287" s="49"/>
      <c r="AA287" s="49"/>
      <c r="AB287" s="50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</row>
    <row r="288" spans="1:41" s="39" customFormat="1" ht="24.75" customHeight="1">
      <c r="A288" s="32"/>
      <c r="B288" s="130" t="s">
        <v>93</v>
      </c>
      <c r="C288" s="14" t="s">
        <v>2</v>
      </c>
      <c r="D288" s="29" t="s">
        <v>30</v>
      </c>
      <c r="E288" s="16" t="s">
        <v>197</v>
      </c>
      <c r="F288" s="15"/>
      <c r="G288" s="15"/>
      <c r="H288" s="15"/>
      <c r="I288" s="17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8"/>
      <c r="X288" s="30"/>
      <c r="Y288" s="30"/>
      <c r="Z288" s="30"/>
      <c r="AA288" s="30"/>
      <c r="AB288" s="34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</row>
    <row r="289" spans="1:41" s="39" customFormat="1" ht="23.25" customHeight="1">
      <c r="A289" s="32">
        <v>34</v>
      </c>
      <c r="B289" s="137"/>
      <c r="C289" s="20" t="str">
        <f>IF(A289="","VARA",VLOOKUP(A289,'[1]varas'!$A$4:$B$67,2))</f>
        <v>1ª VT Jaboatão</v>
      </c>
      <c r="D289" s="15"/>
      <c r="E289" s="16"/>
      <c r="F289" s="15">
        <v>4</v>
      </c>
      <c r="G289" s="15">
        <v>3</v>
      </c>
      <c r="H289" s="15">
        <v>3</v>
      </c>
      <c r="I289" s="17">
        <f>SUM(F289:H289)</f>
        <v>10</v>
      </c>
      <c r="J289" s="15">
        <v>2</v>
      </c>
      <c r="K289" s="15">
        <v>0</v>
      </c>
      <c r="L289" s="15">
        <v>1</v>
      </c>
      <c r="M289" s="15">
        <v>3</v>
      </c>
      <c r="N289" s="15">
        <v>0</v>
      </c>
      <c r="O289" s="15">
        <v>0</v>
      </c>
      <c r="P289" s="15">
        <f>SUM(J289:O289)</f>
        <v>6</v>
      </c>
      <c r="Q289" s="15">
        <v>2</v>
      </c>
      <c r="R289" s="15">
        <v>2</v>
      </c>
      <c r="S289" s="15">
        <v>0</v>
      </c>
      <c r="T289" s="15">
        <v>0</v>
      </c>
      <c r="U289" s="15">
        <v>0</v>
      </c>
      <c r="V289" s="18"/>
      <c r="W289" s="18"/>
      <c r="X289" s="30"/>
      <c r="Y289" s="30"/>
      <c r="Z289" s="30"/>
      <c r="AA289" s="30"/>
      <c r="AB289" s="34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</row>
    <row r="290" spans="1:41" s="53" customFormat="1" ht="21" customHeight="1">
      <c r="A290" s="47"/>
      <c r="B290" s="131"/>
      <c r="C290" s="21" t="s">
        <v>12</v>
      </c>
      <c r="D290" s="51"/>
      <c r="E290" s="52"/>
      <c r="F290" s="24">
        <f>SUM(F288:F289)</f>
        <v>4</v>
      </c>
      <c r="G290" s="24">
        <f>SUM(G288:G289)</f>
        <v>3</v>
      </c>
      <c r="H290" s="24">
        <f>SUM(H288:H289)</f>
        <v>3</v>
      </c>
      <c r="I290" s="25">
        <f>SUM(F290:H290)</f>
        <v>10</v>
      </c>
      <c r="J290" s="24">
        <f aca="true" t="shared" si="83" ref="J290:O290">SUM(J288:J289)</f>
        <v>2</v>
      </c>
      <c r="K290" s="24">
        <f t="shared" si="83"/>
        <v>0</v>
      </c>
      <c r="L290" s="24">
        <f t="shared" si="83"/>
        <v>1</v>
      </c>
      <c r="M290" s="24">
        <f t="shared" si="83"/>
        <v>3</v>
      </c>
      <c r="N290" s="24">
        <f t="shared" si="83"/>
        <v>0</v>
      </c>
      <c r="O290" s="24">
        <f t="shared" si="83"/>
        <v>0</v>
      </c>
      <c r="P290" s="24">
        <f>SUM(J290:O290)</f>
        <v>6</v>
      </c>
      <c r="Q290" s="24">
        <f>SUM(Q288:Q289)</f>
        <v>2</v>
      </c>
      <c r="R290" s="24">
        <f>SUM(R288:R289)</f>
        <v>2</v>
      </c>
      <c r="S290" s="24">
        <f>SUM(S288:S289)</f>
        <v>0</v>
      </c>
      <c r="T290" s="24">
        <f>SUM(T288:T289)</f>
        <v>0</v>
      </c>
      <c r="U290" s="24">
        <f>SUM(U288:U289)</f>
        <v>0</v>
      </c>
      <c r="V290" s="26">
        <f>IF(I290-Q290=0,"",IF(D290="",(P290+S290)/(I290-Q290),IF(AND(D290&lt;&gt;"",(P290+S290)/(I290-Q290)&gt;=50%),(P290+S290)/(I290-Q290),"")))</f>
        <v>0.75</v>
      </c>
      <c r="W290" s="26">
        <f>IF(I290=O290,"",IF(V290="",0,(P290+Q290+S290-O290)/(I290-O290)))</f>
        <v>0.8</v>
      </c>
      <c r="X290" s="49"/>
      <c r="Y290" s="49"/>
      <c r="Z290" s="49"/>
      <c r="AA290" s="49"/>
      <c r="AB290" s="50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</row>
    <row r="291" spans="1:41" s="39" customFormat="1" ht="27.75" customHeight="1">
      <c r="A291" s="32"/>
      <c r="B291" s="138" t="s">
        <v>94</v>
      </c>
      <c r="C291" s="105" t="s">
        <v>156</v>
      </c>
      <c r="D291" s="29" t="s">
        <v>43</v>
      </c>
      <c r="E291" s="16" t="s">
        <v>215</v>
      </c>
      <c r="F291" s="15"/>
      <c r="G291" s="15"/>
      <c r="H291" s="15"/>
      <c r="I291" s="17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8"/>
      <c r="X291" s="30"/>
      <c r="Y291" s="30"/>
      <c r="Z291" s="30"/>
      <c r="AA291" s="30"/>
      <c r="AB291" s="34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</row>
    <row r="292" spans="1:41" s="39" customFormat="1" ht="24" customHeight="1">
      <c r="A292" s="32">
        <v>27</v>
      </c>
      <c r="B292" s="139"/>
      <c r="C292" s="106" t="str">
        <f>IF(A292="","VARA",VLOOKUP(A292,'[1]varas'!$A$4:$B$67,2))</f>
        <v>2ª VT Cabo</v>
      </c>
      <c r="D292" s="15"/>
      <c r="E292" s="16"/>
      <c r="F292" s="15">
        <f>14+25+8</f>
        <v>47</v>
      </c>
      <c r="G292" s="15">
        <v>10</v>
      </c>
      <c r="H292" s="15">
        <v>0</v>
      </c>
      <c r="I292" s="17">
        <f>SUM(F292:H292)</f>
        <v>57</v>
      </c>
      <c r="J292" s="15">
        <v>10</v>
      </c>
      <c r="K292" s="15">
        <v>7</v>
      </c>
      <c r="L292" s="15">
        <v>7</v>
      </c>
      <c r="M292" s="15">
        <v>1</v>
      </c>
      <c r="N292" s="15">
        <v>0</v>
      </c>
      <c r="O292" s="15">
        <v>25</v>
      </c>
      <c r="P292" s="15">
        <f>SUM(J292:O292)</f>
        <v>50</v>
      </c>
      <c r="Q292" s="15">
        <v>5</v>
      </c>
      <c r="R292" s="15">
        <v>2</v>
      </c>
      <c r="S292" s="15">
        <v>0</v>
      </c>
      <c r="T292" s="15">
        <v>0</v>
      </c>
      <c r="U292" s="15">
        <v>85</v>
      </c>
      <c r="V292" s="18"/>
      <c r="W292" s="18"/>
      <c r="X292" s="30"/>
      <c r="Y292" s="30"/>
      <c r="Z292" s="30"/>
      <c r="AA292" s="30"/>
      <c r="AB292" s="34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</row>
    <row r="293" spans="1:41" s="53" customFormat="1" ht="23.25" customHeight="1">
      <c r="A293" s="47"/>
      <c r="B293" s="135"/>
      <c r="C293" s="107" t="s">
        <v>12</v>
      </c>
      <c r="D293" s="51"/>
      <c r="E293" s="52"/>
      <c r="F293" s="24">
        <f>SUM(F291:F292)</f>
        <v>47</v>
      </c>
      <c r="G293" s="24">
        <f>SUM(G291:G292)</f>
        <v>10</v>
      </c>
      <c r="H293" s="24">
        <f>SUM(H291:H292)</f>
        <v>0</v>
      </c>
      <c r="I293" s="25">
        <f>SUM(F293:H293)</f>
        <v>57</v>
      </c>
      <c r="J293" s="24">
        <f aca="true" t="shared" si="84" ref="J293:O293">SUM(J291:J292)</f>
        <v>10</v>
      </c>
      <c r="K293" s="24">
        <f t="shared" si="84"/>
        <v>7</v>
      </c>
      <c r="L293" s="24">
        <f t="shared" si="84"/>
        <v>7</v>
      </c>
      <c r="M293" s="24">
        <f t="shared" si="84"/>
        <v>1</v>
      </c>
      <c r="N293" s="24">
        <f t="shared" si="84"/>
        <v>0</v>
      </c>
      <c r="O293" s="24">
        <f t="shared" si="84"/>
        <v>25</v>
      </c>
      <c r="P293" s="24">
        <f>SUM(J293:O293)</f>
        <v>50</v>
      </c>
      <c r="Q293" s="24">
        <f>SUM(Q291:Q292)</f>
        <v>5</v>
      </c>
      <c r="R293" s="24">
        <f>SUM(R291:R292)</f>
        <v>2</v>
      </c>
      <c r="S293" s="24">
        <f>SUM(S291:S292)</f>
        <v>0</v>
      </c>
      <c r="T293" s="24">
        <f>SUM(T291:T292)</f>
        <v>0</v>
      </c>
      <c r="U293" s="24">
        <f>SUM(U291:U292)</f>
        <v>85</v>
      </c>
      <c r="V293" s="26">
        <f>IF(I293-Q293=0,"",IF(D293="",(P293+S293)/(I293-Q293),IF(AND(D293&lt;&gt;"",(P293+S293)/(I293-Q293)&gt;=50%),(P293+S293)/(I293-Q293),"")))</f>
        <v>0.9615384615384616</v>
      </c>
      <c r="W293" s="26">
        <f>IF(I293=O293,"",IF(V293="",0,(P293+Q293+S293-O293)/(I293-O293)))</f>
        <v>0.9375</v>
      </c>
      <c r="X293" s="49"/>
      <c r="Y293" s="49"/>
      <c r="Z293" s="49"/>
      <c r="AA293" s="49"/>
      <c r="AB293" s="50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</row>
    <row r="294" spans="1:41" s="39" customFormat="1" ht="26.25" customHeight="1">
      <c r="A294" s="32"/>
      <c r="B294" s="138" t="s">
        <v>95</v>
      </c>
      <c r="C294" s="105" t="s">
        <v>2</v>
      </c>
      <c r="D294" s="29"/>
      <c r="E294" s="16" t="s">
        <v>27</v>
      </c>
      <c r="F294" s="15"/>
      <c r="G294" s="15"/>
      <c r="H294" s="15"/>
      <c r="I294" s="17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8"/>
      <c r="X294" s="30"/>
      <c r="Y294" s="30"/>
      <c r="Z294" s="30"/>
      <c r="AA294" s="30"/>
      <c r="AB294" s="34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</row>
    <row r="295" spans="1:41" s="39" customFormat="1" ht="27" customHeight="1">
      <c r="A295" s="32">
        <v>58</v>
      </c>
      <c r="B295" s="140"/>
      <c r="C295" s="106" t="str">
        <f>IF(A295="","VARA",VLOOKUP(A295,'[1]varas'!$A$4:$B$67,2))</f>
        <v>VT S.Talhada</v>
      </c>
      <c r="D295" s="15"/>
      <c r="E295" s="16"/>
      <c r="F295" s="15">
        <v>0</v>
      </c>
      <c r="G295" s="15">
        <v>0</v>
      </c>
      <c r="H295" s="15">
        <v>13</v>
      </c>
      <c r="I295" s="17">
        <f>SUM(F295:H295)</f>
        <v>13</v>
      </c>
      <c r="J295" s="15">
        <v>13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f>SUM(J295:O295)</f>
        <v>13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8"/>
      <c r="W295" s="18"/>
      <c r="X295" s="30"/>
      <c r="Y295" s="30"/>
      <c r="Z295" s="30"/>
      <c r="AA295" s="30"/>
      <c r="AB295" s="34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</row>
    <row r="296" spans="1:41" s="39" customFormat="1" ht="21.75" customHeight="1">
      <c r="A296" s="32">
        <v>54</v>
      </c>
      <c r="B296" s="140"/>
      <c r="C296" s="106" t="str">
        <f>IF(A296="","VARA",VLOOKUP(A296,'[1]varas'!$A$4:$B$67,2))</f>
        <v>1ª VT Palmares</v>
      </c>
      <c r="D296" s="15"/>
      <c r="E296" s="16"/>
      <c r="F296" s="15">
        <f>82+25+1</f>
        <v>108</v>
      </c>
      <c r="G296" s="15">
        <v>0</v>
      </c>
      <c r="H296" s="15">
        <v>32</v>
      </c>
      <c r="I296" s="17">
        <f>SUM(F296:H296)</f>
        <v>140</v>
      </c>
      <c r="J296" s="15">
        <v>7</v>
      </c>
      <c r="K296" s="15">
        <v>19</v>
      </c>
      <c r="L296" s="15">
        <v>0</v>
      </c>
      <c r="M296" s="15">
        <v>1</v>
      </c>
      <c r="N296" s="15">
        <v>0</v>
      </c>
      <c r="O296" s="15">
        <v>25</v>
      </c>
      <c r="P296" s="15">
        <f>SUM(J296:O296)</f>
        <v>52</v>
      </c>
      <c r="Q296" s="15">
        <v>5</v>
      </c>
      <c r="R296" s="15">
        <v>83</v>
      </c>
      <c r="S296" s="15">
        <v>0</v>
      </c>
      <c r="T296" s="15">
        <v>0</v>
      </c>
      <c r="U296" s="15">
        <v>126</v>
      </c>
      <c r="V296" s="18"/>
      <c r="W296" s="18"/>
      <c r="X296" s="30"/>
      <c r="Y296" s="30"/>
      <c r="Z296" s="30"/>
      <c r="AA296" s="30"/>
      <c r="AB296" s="34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</row>
    <row r="297" spans="1:41" s="39" customFormat="1" ht="22.5" customHeight="1">
      <c r="A297" s="32"/>
      <c r="B297" s="135"/>
      <c r="C297" s="107" t="s">
        <v>12</v>
      </c>
      <c r="D297" s="33"/>
      <c r="E297" s="23"/>
      <c r="F297" s="24">
        <f>SUM(F294:F296)</f>
        <v>108</v>
      </c>
      <c r="G297" s="24">
        <f>SUM(G294:G296)</f>
        <v>0</v>
      </c>
      <c r="H297" s="24">
        <f>SUM(H294:H296)</f>
        <v>45</v>
      </c>
      <c r="I297" s="40">
        <f>SUM(F297:H297)</f>
        <v>153</v>
      </c>
      <c r="J297" s="24">
        <f aca="true" t="shared" si="85" ref="J297:O297">SUM(J294:J296)</f>
        <v>20</v>
      </c>
      <c r="K297" s="24">
        <f t="shared" si="85"/>
        <v>19</v>
      </c>
      <c r="L297" s="24">
        <f t="shared" si="85"/>
        <v>0</v>
      </c>
      <c r="M297" s="24">
        <f t="shared" si="85"/>
        <v>1</v>
      </c>
      <c r="N297" s="24">
        <f t="shared" si="85"/>
        <v>0</v>
      </c>
      <c r="O297" s="24">
        <f t="shared" si="85"/>
        <v>25</v>
      </c>
      <c r="P297" s="24">
        <f>SUM(J297:O297)</f>
        <v>65</v>
      </c>
      <c r="Q297" s="24">
        <f>SUM(Q294:Q296)</f>
        <v>5</v>
      </c>
      <c r="R297" s="24">
        <f>SUM(R294:R296)</f>
        <v>83</v>
      </c>
      <c r="S297" s="24">
        <f>SUM(S294:S296)</f>
        <v>0</v>
      </c>
      <c r="T297" s="24">
        <f>SUM(T294:T296)</f>
        <v>0</v>
      </c>
      <c r="U297" s="24">
        <f>SUM(U294:U296)</f>
        <v>126</v>
      </c>
      <c r="V297" s="26">
        <f>IF(I297-Q297=0,"",IF(D297="",(P297+S297)/(I297-Q297),IF(AND(D297&lt;&gt;"",(P297+S297)/(I297-Q297)&gt;=50%),(P297+S297)/(I297-Q297),"")))</f>
        <v>0.4391891891891892</v>
      </c>
      <c r="W297" s="26">
        <f>IF(I297=O297,"",IF(V297="",0,(P297+Q297+S297-O297)/(I297-O297)))</f>
        <v>0.3515625</v>
      </c>
      <c r="X297" s="30"/>
      <c r="Y297" s="30"/>
      <c r="Z297" s="30"/>
      <c r="AA297" s="30"/>
      <c r="AB297" s="34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</row>
    <row r="298" spans="1:41" s="39" customFormat="1" ht="26.25" customHeight="1">
      <c r="A298" s="32"/>
      <c r="B298" s="138" t="s">
        <v>165</v>
      </c>
      <c r="C298" s="105" t="s">
        <v>2</v>
      </c>
      <c r="D298" s="29"/>
      <c r="E298" s="16" t="s">
        <v>27</v>
      </c>
      <c r="F298" s="15"/>
      <c r="G298" s="15"/>
      <c r="H298" s="15"/>
      <c r="I298" s="17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8"/>
      <c r="X298" s="30"/>
      <c r="Y298" s="30"/>
      <c r="Z298" s="30"/>
      <c r="AA298" s="30"/>
      <c r="AB298" s="34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</row>
    <row r="299" spans="1:41" s="39" customFormat="1" ht="24.75" customHeight="1">
      <c r="A299" s="32">
        <v>11</v>
      </c>
      <c r="B299" s="139"/>
      <c r="C299" s="106" t="str">
        <f>IF(A299="","VARA",VLOOKUP(A299,'[1]varas'!$A$4:$B$67,2))</f>
        <v>11ª VT Recife</v>
      </c>
      <c r="D299" s="15"/>
      <c r="E299" s="16"/>
      <c r="F299" s="15">
        <v>2</v>
      </c>
      <c r="G299" s="15">
        <v>1</v>
      </c>
      <c r="H299" s="15">
        <v>10</v>
      </c>
      <c r="I299" s="17">
        <f>SUM(F299:H299)</f>
        <v>13</v>
      </c>
      <c r="J299" s="15">
        <v>12</v>
      </c>
      <c r="K299" s="15">
        <v>0</v>
      </c>
      <c r="L299" s="15">
        <v>0</v>
      </c>
      <c r="M299" s="15">
        <v>1</v>
      </c>
      <c r="N299" s="15">
        <v>0</v>
      </c>
      <c r="O299" s="15">
        <v>0</v>
      </c>
      <c r="P299" s="15">
        <f>SUM(J299:O299)</f>
        <v>13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8"/>
      <c r="W299" s="18"/>
      <c r="X299" s="30"/>
      <c r="Y299" s="30"/>
      <c r="Z299" s="30"/>
      <c r="AA299" s="30"/>
      <c r="AB299" s="34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</row>
    <row r="300" spans="1:41" s="39" customFormat="1" ht="23.25" customHeight="1">
      <c r="A300" s="32">
        <v>16</v>
      </c>
      <c r="B300" s="139"/>
      <c r="C300" s="106" t="str">
        <f>IF(A300="","VARA",VLOOKUP(A300,'[1]varas'!$A$4:$B$67,2))</f>
        <v>16ª VT Recife</v>
      </c>
      <c r="D300" s="15"/>
      <c r="E300" s="16"/>
      <c r="F300" s="15">
        <v>0</v>
      </c>
      <c r="G300" s="15">
        <v>1</v>
      </c>
      <c r="H300" s="15">
        <v>0</v>
      </c>
      <c r="I300" s="17">
        <f>SUM(F300:H300)</f>
        <v>1</v>
      </c>
      <c r="J300" s="15">
        <v>1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f>SUM(J300:O300)</f>
        <v>1</v>
      </c>
      <c r="Q300" s="15">
        <v>0</v>
      </c>
      <c r="R300" s="15">
        <v>0</v>
      </c>
      <c r="S300" s="15">
        <v>0</v>
      </c>
      <c r="T300" s="15">
        <v>0</v>
      </c>
      <c r="U300" s="15">
        <v>1</v>
      </c>
      <c r="V300" s="18"/>
      <c r="W300" s="18"/>
      <c r="X300" s="30"/>
      <c r="Y300" s="30"/>
      <c r="Z300" s="30"/>
      <c r="AA300" s="30"/>
      <c r="AB300" s="34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</row>
    <row r="301" spans="1:41" s="39" customFormat="1" ht="23.25" customHeight="1">
      <c r="A301" s="32">
        <v>17</v>
      </c>
      <c r="B301" s="139"/>
      <c r="C301" s="106" t="str">
        <f>IF(A301="","VARA",VLOOKUP(A301,'[1]varas'!$A$4:$B$67,2))</f>
        <v>17ª VT Recife</v>
      </c>
      <c r="D301" s="15"/>
      <c r="E301" s="16"/>
      <c r="F301" s="15">
        <v>0</v>
      </c>
      <c r="G301" s="15">
        <v>0</v>
      </c>
      <c r="H301" s="15">
        <v>0</v>
      </c>
      <c r="I301" s="17">
        <f>SUM(F301:H301)</f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f>SUM(J301:O301)</f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8"/>
      <c r="W301" s="18"/>
      <c r="X301" s="30"/>
      <c r="Y301" s="30"/>
      <c r="Z301" s="30"/>
      <c r="AA301" s="30"/>
      <c r="AB301" s="34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</row>
    <row r="302" spans="1:41" s="39" customFormat="1" ht="18.75" customHeight="1">
      <c r="A302" s="32">
        <v>33</v>
      </c>
      <c r="B302" s="139"/>
      <c r="C302" s="106" t="str">
        <f>IF(A302="","VARA",VLOOKUP(A302,'[1]varas'!$A$4:$B$67,2))</f>
        <v>2ª VT Ipojuca</v>
      </c>
      <c r="D302" s="15"/>
      <c r="E302" s="16"/>
      <c r="F302" s="15">
        <f>48+11</f>
        <v>59</v>
      </c>
      <c r="G302" s="15">
        <v>7</v>
      </c>
      <c r="H302" s="15">
        <v>16</v>
      </c>
      <c r="I302" s="17">
        <f>SUM(F302:H302)</f>
        <v>82</v>
      </c>
      <c r="J302" s="15">
        <v>17</v>
      </c>
      <c r="K302" s="15">
        <v>24</v>
      </c>
      <c r="L302" s="15">
        <v>1</v>
      </c>
      <c r="M302" s="15">
        <v>0</v>
      </c>
      <c r="N302" s="15">
        <v>0</v>
      </c>
      <c r="O302" s="15">
        <v>10</v>
      </c>
      <c r="P302" s="15">
        <f>SUM(J302:O302)</f>
        <v>52</v>
      </c>
      <c r="Q302" s="15">
        <v>17</v>
      </c>
      <c r="R302" s="15">
        <v>12</v>
      </c>
      <c r="S302" s="15">
        <v>0</v>
      </c>
      <c r="T302" s="15">
        <v>1</v>
      </c>
      <c r="U302" s="15">
        <v>127</v>
      </c>
      <c r="V302" s="18"/>
      <c r="W302" s="18"/>
      <c r="X302" s="30"/>
      <c r="Y302" s="30"/>
      <c r="Z302" s="30"/>
      <c r="AA302" s="30"/>
      <c r="AB302" s="34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</row>
    <row r="303" spans="1:41" s="39" customFormat="1" ht="21" customHeight="1">
      <c r="A303" s="32"/>
      <c r="B303" s="135"/>
      <c r="C303" s="107" t="s">
        <v>12</v>
      </c>
      <c r="D303" s="33"/>
      <c r="E303" s="23"/>
      <c r="F303" s="24">
        <f>SUM(F298:F302)</f>
        <v>61</v>
      </c>
      <c r="G303" s="24">
        <f>SUM(G298:G302)</f>
        <v>9</v>
      </c>
      <c r="H303" s="24">
        <f>SUM(H298:H302)</f>
        <v>26</v>
      </c>
      <c r="I303" s="40">
        <f>SUM(F303:H303)</f>
        <v>96</v>
      </c>
      <c r="J303" s="24">
        <f aca="true" t="shared" si="86" ref="J303:O303">SUM(J298:J302)</f>
        <v>30</v>
      </c>
      <c r="K303" s="24">
        <f t="shared" si="86"/>
        <v>24</v>
      </c>
      <c r="L303" s="24">
        <f t="shared" si="86"/>
        <v>1</v>
      </c>
      <c r="M303" s="24">
        <f t="shared" si="86"/>
        <v>1</v>
      </c>
      <c r="N303" s="24">
        <f t="shared" si="86"/>
        <v>0</v>
      </c>
      <c r="O303" s="24">
        <f t="shared" si="86"/>
        <v>10</v>
      </c>
      <c r="P303" s="24">
        <f>SUM(J303:O303)</f>
        <v>66</v>
      </c>
      <c r="Q303" s="24">
        <f>SUM(Q298:Q302)</f>
        <v>17</v>
      </c>
      <c r="R303" s="24">
        <f>SUM(R298:R302)</f>
        <v>12</v>
      </c>
      <c r="S303" s="24">
        <f>SUM(S298:S302)</f>
        <v>0</v>
      </c>
      <c r="T303" s="24">
        <f>SUM(T298:T302)</f>
        <v>1</v>
      </c>
      <c r="U303" s="24">
        <f>SUM(U298:U302)</f>
        <v>128</v>
      </c>
      <c r="V303" s="26">
        <f>IF(I303-Q303=0,"",IF(D303="",(P303+S303)/(I303-Q303),IF(AND(D303&lt;&gt;"",(P303+S303)/(I303-Q303)&gt;=50%),(P303+S303)/(I303-Q303),"")))</f>
        <v>0.8354430379746836</v>
      </c>
      <c r="W303" s="26">
        <f>IF(I303=O303,"",IF(V303="",0,(P303+Q303+S303-O303)/(I303-O303)))</f>
        <v>0.8488372093023255</v>
      </c>
      <c r="X303" s="30"/>
      <c r="Y303" s="30"/>
      <c r="Z303" s="30"/>
      <c r="AA303" s="30"/>
      <c r="AB303" s="34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</row>
    <row r="304" spans="1:41" s="39" customFormat="1" ht="24.75" customHeight="1">
      <c r="A304" s="32"/>
      <c r="B304" s="138" t="s">
        <v>96</v>
      </c>
      <c r="C304" s="105" t="s">
        <v>2</v>
      </c>
      <c r="D304" s="29"/>
      <c r="E304" s="16" t="s">
        <v>27</v>
      </c>
      <c r="F304" s="15"/>
      <c r="G304" s="15"/>
      <c r="H304" s="15"/>
      <c r="I304" s="17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8"/>
      <c r="X304" s="30"/>
      <c r="Y304" s="30"/>
      <c r="Z304" s="30"/>
      <c r="AA304" s="30"/>
      <c r="AB304" s="34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</row>
    <row r="305" spans="1:41" s="39" customFormat="1" ht="24.75" customHeight="1">
      <c r="A305" s="32">
        <v>9</v>
      </c>
      <c r="B305" s="140"/>
      <c r="C305" s="106" t="str">
        <f>IF(A305="","VARA",VLOOKUP(A305,'[1]varas'!$A$4:$B$67,2))</f>
        <v>9ª VT Recife</v>
      </c>
      <c r="D305" s="15"/>
      <c r="E305" s="16"/>
      <c r="F305" s="15">
        <f>55+32+12+8</f>
        <v>107</v>
      </c>
      <c r="G305" s="15">
        <v>0</v>
      </c>
      <c r="H305" s="15">
        <v>25</v>
      </c>
      <c r="I305" s="17">
        <f>SUM(F305:H305)</f>
        <v>132</v>
      </c>
      <c r="J305" s="15">
        <v>21</v>
      </c>
      <c r="K305" s="15">
        <v>17</v>
      </c>
      <c r="L305" s="15">
        <v>12</v>
      </c>
      <c r="M305" s="15">
        <v>8</v>
      </c>
      <c r="N305" s="15">
        <v>0</v>
      </c>
      <c r="O305" s="15">
        <v>32</v>
      </c>
      <c r="P305" s="15">
        <f>SUM(J305:O305)</f>
        <v>90</v>
      </c>
      <c r="Q305" s="15">
        <v>17</v>
      </c>
      <c r="R305" s="15">
        <v>25</v>
      </c>
      <c r="S305" s="15">
        <v>0</v>
      </c>
      <c r="T305" s="15">
        <v>0</v>
      </c>
      <c r="U305" s="15">
        <v>173</v>
      </c>
      <c r="V305" s="18"/>
      <c r="W305" s="18"/>
      <c r="X305" s="30"/>
      <c r="Y305" s="30"/>
      <c r="Z305" s="30"/>
      <c r="AA305" s="30"/>
      <c r="AB305" s="34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</row>
    <row r="306" spans="1:41" s="39" customFormat="1" ht="24.75" customHeight="1">
      <c r="A306" s="32">
        <v>10</v>
      </c>
      <c r="B306" s="140"/>
      <c r="C306" s="106" t="str">
        <f>IF(A306="","VARA",VLOOKUP(A306,'[1]varas'!$A$4:$B$67,2))</f>
        <v>10ª VT Recife</v>
      </c>
      <c r="D306" s="15"/>
      <c r="E306" s="16"/>
      <c r="F306" s="15">
        <v>1</v>
      </c>
      <c r="G306" s="15">
        <v>0</v>
      </c>
      <c r="H306" s="15">
        <v>0</v>
      </c>
      <c r="I306" s="17">
        <f>SUM(F306:H306)</f>
        <v>1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1</v>
      </c>
      <c r="P306" s="15">
        <f>SUM(J306:O306)</f>
        <v>1</v>
      </c>
      <c r="Q306" s="15">
        <v>0</v>
      </c>
      <c r="R306" s="15">
        <v>0</v>
      </c>
      <c r="S306" s="15">
        <v>0</v>
      </c>
      <c r="T306" s="15">
        <v>0</v>
      </c>
      <c r="U306" s="15">
        <v>1</v>
      </c>
      <c r="V306" s="18"/>
      <c r="W306" s="18"/>
      <c r="X306" s="30"/>
      <c r="Y306" s="30"/>
      <c r="Z306" s="30"/>
      <c r="AA306" s="30"/>
      <c r="AB306" s="34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</row>
    <row r="307" spans="1:41" s="39" customFormat="1" ht="21" customHeight="1">
      <c r="A307" s="32">
        <v>21</v>
      </c>
      <c r="B307" s="139"/>
      <c r="C307" s="106" t="str">
        <f>IF(A307="","VARA",VLOOKUP(A307,'[1]varas'!$A$4:$B$67,2))</f>
        <v>21ª VT Recife</v>
      </c>
      <c r="D307" s="15"/>
      <c r="E307" s="16"/>
      <c r="F307" s="15">
        <v>0</v>
      </c>
      <c r="G307" s="15">
        <v>0</v>
      </c>
      <c r="H307" s="15">
        <v>6</v>
      </c>
      <c r="I307" s="17">
        <f>SUM(F307:H307)</f>
        <v>6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f>SUM(J307:O307)</f>
        <v>0</v>
      </c>
      <c r="Q307" s="15">
        <v>0</v>
      </c>
      <c r="R307" s="15">
        <v>6</v>
      </c>
      <c r="S307" s="15">
        <v>0</v>
      </c>
      <c r="T307" s="15">
        <v>0</v>
      </c>
      <c r="U307" s="15">
        <v>0</v>
      </c>
      <c r="V307" s="18"/>
      <c r="W307" s="18"/>
      <c r="X307" s="30"/>
      <c r="Y307" s="30"/>
      <c r="Z307" s="30"/>
      <c r="AA307" s="30"/>
      <c r="AB307" s="34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</row>
    <row r="308" spans="1:41" s="39" customFormat="1" ht="22.5" customHeight="1">
      <c r="A308" s="32"/>
      <c r="B308" s="135"/>
      <c r="C308" s="107" t="s">
        <v>12</v>
      </c>
      <c r="D308" s="33"/>
      <c r="E308" s="23"/>
      <c r="F308" s="24">
        <f>SUM(F304:F307)</f>
        <v>108</v>
      </c>
      <c r="G308" s="24">
        <f>SUM(G304:G307)</f>
        <v>0</v>
      </c>
      <c r="H308" s="24">
        <f>SUM(H304:H307)</f>
        <v>31</v>
      </c>
      <c r="I308" s="40">
        <f>SUM(F308:H308)</f>
        <v>139</v>
      </c>
      <c r="J308" s="24">
        <f aca="true" t="shared" si="87" ref="J308:O308">SUM(J304:J307)</f>
        <v>21</v>
      </c>
      <c r="K308" s="24">
        <f t="shared" si="87"/>
        <v>17</v>
      </c>
      <c r="L308" s="24">
        <f t="shared" si="87"/>
        <v>12</v>
      </c>
      <c r="M308" s="24">
        <f t="shared" si="87"/>
        <v>8</v>
      </c>
      <c r="N308" s="24">
        <f t="shared" si="87"/>
        <v>0</v>
      </c>
      <c r="O308" s="24">
        <f t="shared" si="87"/>
        <v>33</v>
      </c>
      <c r="P308" s="24">
        <f>SUM(J308:O308)</f>
        <v>91</v>
      </c>
      <c r="Q308" s="24">
        <f>SUM(Q304:Q307)</f>
        <v>17</v>
      </c>
      <c r="R308" s="24">
        <f>SUM(R304:R307)</f>
        <v>31</v>
      </c>
      <c r="S308" s="24">
        <f>SUM(S304:S307)</f>
        <v>0</v>
      </c>
      <c r="T308" s="24">
        <f>SUM(T304:T307)</f>
        <v>0</v>
      </c>
      <c r="U308" s="24">
        <f>SUM(U304:U307)</f>
        <v>174</v>
      </c>
      <c r="V308" s="26">
        <f>IF(I308-Q308=0,"",IF(D308="",(P308+S308)/(I308-Q308),IF(AND(D308&lt;&gt;"",(P308+S308)/(I308-Q308)&gt;=50%),(P308+S308)/(I308-Q308),"")))</f>
        <v>0.7459016393442623</v>
      </c>
      <c r="W308" s="26">
        <f>IF(I308=O308,"",IF(V308="",0,(P308+Q308+S308-O308)/(I308-O308)))</f>
        <v>0.7075471698113207</v>
      </c>
      <c r="X308" s="30"/>
      <c r="Y308" s="30"/>
      <c r="Z308" s="30"/>
      <c r="AA308" s="30"/>
      <c r="AB308" s="34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</row>
    <row r="309" spans="1:41" s="39" customFormat="1" ht="27" customHeight="1">
      <c r="A309" s="32"/>
      <c r="B309" s="138" t="s">
        <v>97</v>
      </c>
      <c r="C309" s="105" t="s">
        <v>2</v>
      </c>
      <c r="D309" s="29" t="s">
        <v>30</v>
      </c>
      <c r="E309" s="16" t="s">
        <v>216</v>
      </c>
      <c r="F309" s="15"/>
      <c r="G309" s="15"/>
      <c r="H309" s="15"/>
      <c r="I309" s="17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8"/>
      <c r="X309" s="30"/>
      <c r="Y309" s="30"/>
      <c r="Z309" s="30"/>
      <c r="AA309" s="30"/>
      <c r="AB309" s="34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</row>
    <row r="310" spans="1:41" s="39" customFormat="1" ht="27" customHeight="1">
      <c r="A310" s="32">
        <v>4</v>
      </c>
      <c r="B310" s="140"/>
      <c r="C310" s="106" t="str">
        <f>IF(A310="","VARA",VLOOKUP(A310,'[1]varas'!$A$4:$B$67,2))</f>
        <v>4ª VT Recife</v>
      </c>
      <c r="D310" s="15"/>
      <c r="E310" s="16"/>
      <c r="F310" s="15">
        <f>29+9+5</f>
        <v>43</v>
      </c>
      <c r="G310" s="15">
        <v>11</v>
      </c>
      <c r="H310" s="15">
        <v>3</v>
      </c>
      <c r="I310" s="17">
        <f>SUM(F310:H310)</f>
        <v>57</v>
      </c>
      <c r="J310" s="15">
        <v>25</v>
      </c>
      <c r="K310" s="15">
        <v>1</v>
      </c>
      <c r="L310" s="15">
        <v>4</v>
      </c>
      <c r="M310" s="15">
        <v>1</v>
      </c>
      <c r="N310" s="15">
        <v>0</v>
      </c>
      <c r="O310" s="15">
        <v>9</v>
      </c>
      <c r="P310" s="15">
        <f>SUM(J310:O310)</f>
        <v>40</v>
      </c>
      <c r="Q310" s="15">
        <v>17</v>
      </c>
      <c r="R310" s="15">
        <v>0</v>
      </c>
      <c r="S310" s="15">
        <v>0</v>
      </c>
      <c r="T310" s="15">
        <v>0</v>
      </c>
      <c r="U310" s="15">
        <v>82</v>
      </c>
      <c r="V310" s="18"/>
      <c r="W310" s="18"/>
      <c r="X310" s="30"/>
      <c r="Y310" s="30"/>
      <c r="Z310" s="30"/>
      <c r="AA310" s="30"/>
      <c r="AB310" s="34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</row>
    <row r="311" spans="1:41" s="39" customFormat="1" ht="27" customHeight="1">
      <c r="A311" s="32">
        <v>61</v>
      </c>
      <c r="B311" s="140"/>
      <c r="C311" s="106" t="str">
        <f>IF(A311="","VARA",VLOOKUP(A311,'[1]varas'!$A$4:$B$67,2))</f>
        <v>VT Vitória</v>
      </c>
      <c r="D311" s="15"/>
      <c r="E311" s="16"/>
      <c r="F311" s="15">
        <v>10</v>
      </c>
      <c r="G311" s="15">
        <v>0</v>
      </c>
      <c r="H311" s="15">
        <v>0</v>
      </c>
      <c r="I311" s="17">
        <f>SUM(F311:H311)</f>
        <v>10</v>
      </c>
      <c r="J311" s="15">
        <v>1</v>
      </c>
      <c r="K311" s="15">
        <v>1</v>
      </c>
      <c r="L311" s="15">
        <v>0</v>
      </c>
      <c r="M311" s="15">
        <v>0</v>
      </c>
      <c r="N311" s="15">
        <v>0</v>
      </c>
      <c r="O311" s="15">
        <v>8</v>
      </c>
      <c r="P311" s="15">
        <f>SUM(J311:O311)</f>
        <v>10</v>
      </c>
      <c r="Q311" s="15">
        <v>0</v>
      </c>
      <c r="R311" s="15">
        <v>0</v>
      </c>
      <c r="S311" s="15">
        <v>0</v>
      </c>
      <c r="T311" s="15">
        <v>0</v>
      </c>
      <c r="U311" s="15">
        <v>16</v>
      </c>
      <c r="V311" s="18"/>
      <c r="W311" s="18"/>
      <c r="X311" s="30"/>
      <c r="Y311" s="30"/>
      <c r="Z311" s="30"/>
      <c r="AA311" s="30"/>
      <c r="AB311" s="34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</row>
    <row r="312" spans="1:41" s="39" customFormat="1" ht="21.75" customHeight="1">
      <c r="A312" s="32">
        <v>47</v>
      </c>
      <c r="B312" s="140"/>
      <c r="C312" s="106" t="str">
        <f>IF(A312="","VARA",VLOOKUP(A312,'[1]varas'!$A$4:$B$67,2))</f>
        <v>VT Carpina</v>
      </c>
      <c r="D312" s="15"/>
      <c r="E312" s="16"/>
      <c r="F312" s="15">
        <v>0</v>
      </c>
      <c r="G312" s="15">
        <v>1</v>
      </c>
      <c r="H312" s="15">
        <v>0</v>
      </c>
      <c r="I312" s="17">
        <f>SUM(F312:H312)</f>
        <v>1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f>SUM(J312:O312)</f>
        <v>0</v>
      </c>
      <c r="Q312" s="15">
        <v>0</v>
      </c>
      <c r="R312" s="15">
        <v>0</v>
      </c>
      <c r="S312" s="15">
        <v>0</v>
      </c>
      <c r="T312" s="15">
        <v>1</v>
      </c>
      <c r="U312" s="15">
        <v>0</v>
      </c>
      <c r="V312" s="18"/>
      <c r="W312" s="18"/>
      <c r="X312" s="30"/>
      <c r="Y312" s="30"/>
      <c r="Z312" s="30"/>
      <c r="AA312" s="30"/>
      <c r="AB312" s="34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</row>
    <row r="313" spans="1:41" s="39" customFormat="1" ht="23.25" customHeight="1">
      <c r="A313" s="32"/>
      <c r="B313" s="135"/>
      <c r="C313" s="107" t="s">
        <v>12</v>
      </c>
      <c r="D313" s="33"/>
      <c r="E313" s="23"/>
      <c r="F313" s="24">
        <f>SUM(F309:F312)</f>
        <v>53</v>
      </c>
      <c r="G313" s="24">
        <f>SUM(G309:G312)</f>
        <v>12</v>
      </c>
      <c r="H313" s="24">
        <f>SUM(H309:H312)</f>
        <v>3</v>
      </c>
      <c r="I313" s="40">
        <f>SUM(F313:H313)</f>
        <v>68</v>
      </c>
      <c r="J313" s="24">
        <f aca="true" t="shared" si="88" ref="J313:O313">SUM(J309:J312)</f>
        <v>26</v>
      </c>
      <c r="K313" s="24">
        <f t="shared" si="88"/>
        <v>2</v>
      </c>
      <c r="L313" s="24">
        <f t="shared" si="88"/>
        <v>4</v>
      </c>
      <c r="M313" s="24">
        <f t="shared" si="88"/>
        <v>1</v>
      </c>
      <c r="N313" s="24">
        <f t="shared" si="88"/>
        <v>0</v>
      </c>
      <c r="O313" s="24">
        <f t="shared" si="88"/>
        <v>17</v>
      </c>
      <c r="P313" s="24">
        <f>SUM(J313:O313)</f>
        <v>50</v>
      </c>
      <c r="Q313" s="24">
        <f>SUM(Q309:Q312)</f>
        <v>17</v>
      </c>
      <c r="R313" s="24">
        <f>SUM(R309:R312)</f>
        <v>0</v>
      </c>
      <c r="S313" s="24">
        <f>SUM(S309:S312)</f>
        <v>0</v>
      </c>
      <c r="T313" s="24">
        <f>SUM(T309:T312)</f>
        <v>1</v>
      </c>
      <c r="U313" s="24">
        <f>SUM(U309:U312)</f>
        <v>98</v>
      </c>
      <c r="V313" s="26">
        <f>IF(I313-Q313=0,"",IF(D313="",(P313+S313)/(I313-Q313),IF(AND(D313&lt;&gt;"",(P313+S313)/(I313-Q313)&gt;=50%),(P313+S313)/(I313-Q313),"")))</f>
        <v>0.9803921568627451</v>
      </c>
      <c r="W313" s="26">
        <f>IF(I313=O313,"",IF(V313="",0,(P313+Q313+S313-O313)/(I313-O313)))</f>
        <v>0.9803921568627451</v>
      </c>
      <c r="X313" s="30"/>
      <c r="Y313" s="30"/>
      <c r="Z313" s="30"/>
      <c r="AA313" s="30"/>
      <c r="AB313" s="34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</row>
    <row r="314" spans="1:41" s="39" customFormat="1" ht="23.25" customHeight="1">
      <c r="A314" s="32"/>
      <c r="B314" s="130" t="s">
        <v>98</v>
      </c>
      <c r="C314" s="14" t="s">
        <v>154</v>
      </c>
      <c r="D314" s="29" t="s">
        <v>209</v>
      </c>
      <c r="E314" s="16" t="s">
        <v>217</v>
      </c>
      <c r="F314" s="15"/>
      <c r="G314" s="15"/>
      <c r="H314" s="15"/>
      <c r="I314" s="17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8"/>
      <c r="X314" s="30"/>
      <c r="Y314" s="30"/>
      <c r="Z314" s="30"/>
      <c r="AA314" s="30"/>
      <c r="AB314" s="34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</row>
    <row r="315" spans="1:41" s="39" customFormat="1" ht="18.75" customHeight="1">
      <c r="A315" s="32">
        <v>39</v>
      </c>
      <c r="B315" s="137"/>
      <c r="C315" s="20" t="str">
        <f>IF(A315="","VARA",VLOOKUP(A315,'[1]varas'!$A$4:$B$67,2))</f>
        <v>2ª VT Olinda</v>
      </c>
      <c r="D315" s="15"/>
      <c r="E315" s="16"/>
      <c r="F315" s="15">
        <v>0</v>
      </c>
      <c r="G315" s="15">
        <v>0</v>
      </c>
      <c r="H315" s="15">
        <v>17</v>
      </c>
      <c r="I315" s="17">
        <f>SUM(F315:H315)</f>
        <v>17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f>SUM(J315:O315)</f>
        <v>0</v>
      </c>
      <c r="Q315" s="15">
        <v>0</v>
      </c>
      <c r="R315" s="15">
        <v>17</v>
      </c>
      <c r="S315" s="15">
        <v>0</v>
      </c>
      <c r="T315" s="15">
        <v>0</v>
      </c>
      <c r="U315" s="15">
        <v>0</v>
      </c>
      <c r="V315" s="18"/>
      <c r="W315" s="18"/>
      <c r="X315" s="30"/>
      <c r="Y315" s="30"/>
      <c r="Z315" s="30"/>
      <c r="AA315" s="30"/>
      <c r="AB315" s="34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</row>
    <row r="316" spans="1:41" s="53" customFormat="1" ht="21" customHeight="1">
      <c r="A316" s="47"/>
      <c r="B316" s="131"/>
      <c r="C316" s="21" t="s">
        <v>12</v>
      </c>
      <c r="D316" s="51"/>
      <c r="E316" s="52"/>
      <c r="F316" s="24">
        <f>SUM(F314:F315)</f>
        <v>0</v>
      </c>
      <c r="G316" s="24">
        <f>SUM(G314:G315)</f>
        <v>0</v>
      </c>
      <c r="H316" s="24">
        <f>SUM(H314:H315)</f>
        <v>17</v>
      </c>
      <c r="I316" s="25">
        <f>SUM(F316:H316)</f>
        <v>17</v>
      </c>
      <c r="J316" s="24">
        <f aca="true" t="shared" si="89" ref="J316:O316">SUM(J314:J315)</f>
        <v>0</v>
      </c>
      <c r="K316" s="24">
        <f t="shared" si="89"/>
        <v>0</v>
      </c>
      <c r="L316" s="24">
        <f t="shared" si="89"/>
        <v>0</v>
      </c>
      <c r="M316" s="24">
        <f t="shared" si="89"/>
        <v>0</v>
      </c>
      <c r="N316" s="24">
        <f t="shared" si="89"/>
        <v>0</v>
      </c>
      <c r="O316" s="24">
        <f t="shared" si="89"/>
        <v>0</v>
      </c>
      <c r="P316" s="24">
        <f>SUM(J316:O316)</f>
        <v>0</v>
      </c>
      <c r="Q316" s="24">
        <f>SUM(Q314:Q315)</f>
        <v>0</v>
      </c>
      <c r="R316" s="24">
        <f>SUM(R314:R315)</f>
        <v>17</v>
      </c>
      <c r="S316" s="24">
        <f>SUM(S314:S315)</f>
        <v>0</v>
      </c>
      <c r="T316" s="24">
        <f>SUM(T314:T315)</f>
        <v>0</v>
      </c>
      <c r="U316" s="24">
        <f>SUM(U314:U315)</f>
        <v>0</v>
      </c>
      <c r="V316" s="26">
        <f>IF(I316-Q316=0,"",IF(D316="",(P316+S316)/(I316-Q316),IF(AND(D316&lt;&gt;"",(P316+S316)/(I316-Q316)&gt;=50%),(P316+S316)/(I316-Q316),"")))</f>
        <v>0</v>
      </c>
      <c r="W316" s="26">
        <f>IF(I316=O316,"",IF(V316="",0,(P316+Q316+S316-O316)/(I316-O316)))</f>
        <v>0</v>
      </c>
      <c r="X316" s="49"/>
      <c r="Y316" s="49"/>
      <c r="Z316" s="49"/>
      <c r="AA316" s="49"/>
      <c r="AB316" s="50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</row>
    <row r="317" spans="1:41" s="39" customFormat="1" ht="20.25" customHeight="1">
      <c r="A317" s="32"/>
      <c r="B317" s="138" t="s">
        <v>99</v>
      </c>
      <c r="C317" s="105" t="s">
        <v>156</v>
      </c>
      <c r="D317" s="15" t="s">
        <v>30</v>
      </c>
      <c r="E317" s="16" t="s">
        <v>197</v>
      </c>
      <c r="F317" s="15"/>
      <c r="G317" s="15"/>
      <c r="H317" s="15"/>
      <c r="I317" s="17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8"/>
      <c r="X317" s="30"/>
      <c r="Y317" s="30"/>
      <c r="Z317" s="30"/>
      <c r="AA317" s="30"/>
      <c r="AB317" s="34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</row>
    <row r="318" spans="1:41" s="39" customFormat="1" ht="20.25" customHeight="1">
      <c r="A318" s="32">
        <v>19</v>
      </c>
      <c r="B318" s="139"/>
      <c r="C318" s="106" t="str">
        <f>IF(A318="","VARA",VLOOKUP(A318,'[1]varas'!$A$4:$B$67,2))</f>
        <v>19ª VT Recife</v>
      </c>
      <c r="D318" s="15"/>
      <c r="E318" s="16"/>
      <c r="F318" s="15">
        <v>23</v>
      </c>
      <c r="G318" s="15">
        <v>8</v>
      </c>
      <c r="H318" s="15">
        <v>55</v>
      </c>
      <c r="I318" s="17">
        <f>SUM(F318:H318)</f>
        <v>86</v>
      </c>
      <c r="J318" s="15">
        <v>3</v>
      </c>
      <c r="K318" s="15">
        <v>0</v>
      </c>
      <c r="L318" s="15">
        <v>1</v>
      </c>
      <c r="M318" s="15">
        <v>3</v>
      </c>
      <c r="N318" s="15">
        <v>0</v>
      </c>
      <c r="O318" s="15">
        <v>0</v>
      </c>
      <c r="P318" s="15">
        <f>SUM(J318:O318)</f>
        <v>7</v>
      </c>
      <c r="Q318" s="15">
        <v>0</v>
      </c>
      <c r="R318" s="15">
        <v>79</v>
      </c>
      <c r="S318" s="15">
        <v>0</v>
      </c>
      <c r="T318" s="15">
        <v>0</v>
      </c>
      <c r="U318" s="15">
        <v>0</v>
      </c>
      <c r="V318" s="18"/>
      <c r="W318" s="18"/>
      <c r="X318" s="30"/>
      <c r="Y318" s="30"/>
      <c r="Z318" s="30"/>
      <c r="AA318" s="30"/>
      <c r="AB318" s="34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</row>
    <row r="319" spans="1:41" s="39" customFormat="1" ht="20.25" customHeight="1">
      <c r="A319" s="32"/>
      <c r="B319" s="135"/>
      <c r="C319" s="107" t="s">
        <v>12</v>
      </c>
      <c r="D319" s="33"/>
      <c r="E319" s="23"/>
      <c r="F319" s="24">
        <f>SUM(F317:F318)</f>
        <v>23</v>
      </c>
      <c r="G319" s="24">
        <f>SUM(G317:G318)</f>
        <v>8</v>
      </c>
      <c r="H319" s="24">
        <f>SUM(H317:H318)</f>
        <v>55</v>
      </c>
      <c r="I319" s="40">
        <f>SUM(F319:H319)</f>
        <v>86</v>
      </c>
      <c r="J319" s="24">
        <f aca="true" t="shared" si="90" ref="J319:O319">SUM(J317:J318)</f>
        <v>3</v>
      </c>
      <c r="K319" s="24">
        <f t="shared" si="90"/>
        <v>0</v>
      </c>
      <c r="L319" s="24">
        <f t="shared" si="90"/>
        <v>1</v>
      </c>
      <c r="M319" s="24">
        <f t="shared" si="90"/>
        <v>3</v>
      </c>
      <c r="N319" s="24">
        <f t="shared" si="90"/>
        <v>0</v>
      </c>
      <c r="O319" s="24">
        <f t="shared" si="90"/>
        <v>0</v>
      </c>
      <c r="P319" s="24">
        <f>SUM(J319:O319)</f>
        <v>7</v>
      </c>
      <c r="Q319" s="24">
        <f>SUM(Q317:Q318)</f>
        <v>0</v>
      </c>
      <c r="R319" s="24">
        <f>SUM(R317:R318)</f>
        <v>79</v>
      </c>
      <c r="S319" s="24">
        <f>SUM(S317:S318)</f>
        <v>0</v>
      </c>
      <c r="T319" s="24">
        <f>SUM(T317:T318)</f>
        <v>0</v>
      </c>
      <c r="U319" s="24">
        <f>SUM(U317:U318)</f>
        <v>0</v>
      </c>
      <c r="V319" s="26">
        <f>IF(I319-Q319=0,"",IF(D319="",(P319+S319)/(I319-Q319),IF(AND(D319&lt;&gt;"",(P319+S319)/(I319-Q319)&gt;=50%),(P319+S319)/(I319-Q319),"")))</f>
        <v>0.08139534883720931</v>
      </c>
      <c r="W319" s="26">
        <f>IF(I319=O319,"",IF(V319="",0,(P319+Q319+S319-O319)/(I319-O319)))</f>
        <v>0.08139534883720931</v>
      </c>
      <c r="X319" s="30"/>
      <c r="Y319" s="30"/>
      <c r="Z319" s="30"/>
      <c r="AA319" s="30"/>
      <c r="AB319" s="34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</row>
    <row r="320" spans="1:41" s="39" customFormat="1" ht="23.25" customHeight="1">
      <c r="A320" s="32"/>
      <c r="B320" s="138" t="s">
        <v>100</v>
      </c>
      <c r="C320" s="105" t="s">
        <v>2</v>
      </c>
      <c r="D320" s="29" t="s">
        <v>187</v>
      </c>
      <c r="E320" s="16" t="s">
        <v>218</v>
      </c>
      <c r="F320" s="15"/>
      <c r="G320" s="15"/>
      <c r="H320" s="15"/>
      <c r="I320" s="17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8"/>
      <c r="X320" s="30"/>
      <c r="Y320" s="30"/>
      <c r="Z320" s="30"/>
      <c r="AA320" s="30"/>
      <c r="AB320" s="34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</row>
    <row r="321" spans="1:41" s="39" customFormat="1" ht="20.25" customHeight="1">
      <c r="A321" s="32">
        <v>35</v>
      </c>
      <c r="B321" s="139"/>
      <c r="C321" s="106" t="str">
        <f>IF(A321="","VARA",VLOOKUP(A321,'[1]varas'!$A$4:$B$67,2))</f>
        <v>2ª VT Jaboatão</v>
      </c>
      <c r="D321" s="29"/>
      <c r="E321" s="16"/>
      <c r="F321" s="15">
        <v>5</v>
      </c>
      <c r="G321" s="15">
        <v>0</v>
      </c>
      <c r="H321" s="15">
        <v>0</v>
      </c>
      <c r="I321" s="17">
        <f>SUM(F321:H321)</f>
        <v>5</v>
      </c>
      <c r="J321" s="15">
        <v>4</v>
      </c>
      <c r="K321" s="15">
        <v>0</v>
      </c>
      <c r="L321" s="15">
        <v>0</v>
      </c>
      <c r="M321" s="15">
        <v>0</v>
      </c>
      <c r="N321" s="15">
        <v>0</v>
      </c>
      <c r="O321" s="15">
        <v>1</v>
      </c>
      <c r="P321" s="15">
        <f>SUM(J321:O321)</f>
        <v>5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8"/>
      <c r="W321" s="18"/>
      <c r="X321" s="30"/>
      <c r="Y321" s="30"/>
      <c r="Z321" s="30"/>
      <c r="AA321" s="30"/>
      <c r="AB321" s="34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</row>
    <row r="322" spans="1:41" s="53" customFormat="1" ht="20.25" customHeight="1">
      <c r="A322" s="47"/>
      <c r="B322" s="135"/>
      <c r="C322" s="107" t="s">
        <v>12</v>
      </c>
      <c r="D322" s="51"/>
      <c r="E322" s="52"/>
      <c r="F322" s="24">
        <f>SUM(F320:F321)</f>
        <v>5</v>
      </c>
      <c r="G322" s="24">
        <f>SUM(G320:G321)</f>
        <v>0</v>
      </c>
      <c r="H322" s="24">
        <f>SUM(H320:H321)</f>
        <v>0</v>
      </c>
      <c r="I322" s="25">
        <f>SUM(F322:H322)</f>
        <v>5</v>
      </c>
      <c r="J322" s="24">
        <f aca="true" t="shared" si="91" ref="J322:O322">SUM(J320:J321)</f>
        <v>4</v>
      </c>
      <c r="K322" s="24">
        <f t="shared" si="91"/>
        <v>0</v>
      </c>
      <c r="L322" s="24">
        <f t="shared" si="91"/>
        <v>0</v>
      </c>
      <c r="M322" s="24">
        <f t="shared" si="91"/>
        <v>0</v>
      </c>
      <c r="N322" s="24">
        <f t="shared" si="91"/>
        <v>0</v>
      </c>
      <c r="O322" s="24">
        <f t="shared" si="91"/>
        <v>1</v>
      </c>
      <c r="P322" s="24">
        <f>SUM(J322:O322)</f>
        <v>5</v>
      </c>
      <c r="Q322" s="24">
        <f>SUM(Q320:Q321)</f>
        <v>0</v>
      </c>
      <c r="R322" s="24">
        <f>SUM(R320:R321)</f>
        <v>0</v>
      </c>
      <c r="S322" s="24">
        <f>SUM(S320:S321)</f>
        <v>0</v>
      </c>
      <c r="T322" s="24">
        <f>SUM(T320:T321)</f>
        <v>0</v>
      </c>
      <c r="U322" s="24">
        <f>SUM(U320:U321)</f>
        <v>0</v>
      </c>
      <c r="V322" s="26">
        <f>IF(I322-Q322=0,"",IF(D322="",(P322+S322)/(I322-Q322),IF(AND(D322&lt;&gt;"",(P322+S322)/(I322-Q322)&gt;=50%),(P322+S322)/(I322-Q322),"")))</f>
        <v>1</v>
      </c>
      <c r="W322" s="26">
        <f>IF(I322=O322,"",IF(V322="",0,(P322+Q322+S322-O322)/(I322-O322)))</f>
        <v>1</v>
      </c>
      <c r="X322" s="49"/>
      <c r="Y322" s="49"/>
      <c r="Z322" s="49"/>
      <c r="AA322" s="49"/>
      <c r="AB322" s="50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</row>
    <row r="323" spans="1:41" s="39" customFormat="1" ht="24" customHeight="1">
      <c r="A323" s="32"/>
      <c r="B323" s="130" t="s">
        <v>101</v>
      </c>
      <c r="C323" s="14" t="s">
        <v>2</v>
      </c>
      <c r="D323" s="15" t="s">
        <v>30</v>
      </c>
      <c r="E323" s="16" t="s">
        <v>219</v>
      </c>
      <c r="F323" s="15"/>
      <c r="G323" s="15"/>
      <c r="H323" s="15"/>
      <c r="I323" s="17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8"/>
      <c r="X323" s="30"/>
      <c r="Y323" s="30"/>
      <c r="Z323" s="30"/>
      <c r="AA323" s="30"/>
      <c r="AB323" s="34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</row>
    <row r="324" spans="1:41" s="39" customFormat="1" ht="24" customHeight="1">
      <c r="A324" s="32">
        <v>36</v>
      </c>
      <c r="B324" s="137"/>
      <c r="C324" s="20" t="str">
        <f>IF(A324="","VARA",VLOOKUP(A324,'[1]varas'!$A$4:$B$67,2))</f>
        <v>3ª VT Jaboatão</v>
      </c>
      <c r="D324" s="15"/>
      <c r="E324" s="16"/>
      <c r="F324" s="15">
        <v>1</v>
      </c>
      <c r="G324" s="15">
        <v>6</v>
      </c>
      <c r="H324" s="15">
        <v>4</v>
      </c>
      <c r="I324" s="17">
        <f>SUM(F324:H324)</f>
        <v>11</v>
      </c>
      <c r="J324" s="15">
        <v>0</v>
      </c>
      <c r="K324" s="15">
        <v>0</v>
      </c>
      <c r="L324" s="15">
        <v>1</v>
      </c>
      <c r="M324" s="15">
        <v>0</v>
      </c>
      <c r="N324" s="15">
        <v>0</v>
      </c>
      <c r="O324" s="15">
        <v>0</v>
      </c>
      <c r="P324" s="15">
        <f>SUM(J324:O324)</f>
        <v>1</v>
      </c>
      <c r="Q324" s="15">
        <v>6</v>
      </c>
      <c r="R324" s="15">
        <v>4</v>
      </c>
      <c r="S324" s="15">
        <v>0</v>
      </c>
      <c r="T324" s="15">
        <v>0</v>
      </c>
      <c r="U324" s="15">
        <v>0</v>
      </c>
      <c r="V324" s="18"/>
      <c r="W324" s="18"/>
      <c r="X324" s="30"/>
      <c r="Y324" s="30"/>
      <c r="Z324" s="30"/>
      <c r="AA324" s="30"/>
      <c r="AB324" s="34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</row>
    <row r="325" spans="1:41" s="39" customFormat="1" ht="18" customHeight="1">
      <c r="A325" s="32"/>
      <c r="B325" s="131"/>
      <c r="C325" s="21" t="s">
        <v>12</v>
      </c>
      <c r="D325" s="33"/>
      <c r="E325" s="23"/>
      <c r="F325" s="24">
        <f>SUM(F323:F324)</f>
        <v>1</v>
      </c>
      <c r="G325" s="24">
        <f>SUM(G323:G324)</f>
        <v>6</v>
      </c>
      <c r="H325" s="24">
        <f>SUM(H323:H324)</f>
        <v>4</v>
      </c>
      <c r="I325" s="40">
        <f>SUM(F325:H325)</f>
        <v>11</v>
      </c>
      <c r="J325" s="24">
        <f aca="true" t="shared" si="92" ref="J325:O325">SUM(J323:J324)</f>
        <v>0</v>
      </c>
      <c r="K325" s="24">
        <f t="shared" si="92"/>
        <v>0</v>
      </c>
      <c r="L325" s="24">
        <f t="shared" si="92"/>
        <v>1</v>
      </c>
      <c r="M325" s="24">
        <f t="shared" si="92"/>
        <v>0</v>
      </c>
      <c r="N325" s="24">
        <f t="shared" si="92"/>
        <v>0</v>
      </c>
      <c r="O325" s="24">
        <f t="shared" si="92"/>
        <v>0</v>
      </c>
      <c r="P325" s="24">
        <f>SUM(J325:O325)</f>
        <v>1</v>
      </c>
      <c r="Q325" s="24">
        <f>SUM(Q323:Q324)</f>
        <v>6</v>
      </c>
      <c r="R325" s="24">
        <f>SUM(R323:R324)</f>
        <v>4</v>
      </c>
      <c r="S325" s="24">
        <f>SUM(S323:S324)</f>
        <v>0</v>
      </c>
      <c r="T325" s="24">
        <f>SUM(T323:T324)</f>
        <v>0</v>
      </c>
      <c r="U325" s="24">
        <f>SUM(U323:U324)</f>
        <v>0</v>
      </c>
      <c r="V325" s="26">
        <f>IF(I325-Q325=0,"",IF(D325="",(P325+S325)/(I325-Q325),IF(AND(D325&lt;&gt;"",(P325+S325)/(I325-Q325)&gt;=50%),(P325+S325)/(I325-Q325),"")))</f>
        <v>0.2</v>
      </c>
      <c r="W325" s="26">
        <f>IF(I325=O325,"",IF(V325="",0,(P325+Q325+S325-O325)/(I325-O325)))</f>
        <v>0.6363636363636364</v>
      </c>
      <c r="X325" s="30"/>
      <c r="Y325" s="30"/>
      <c r="Z325" s="30"/>
      <c r="AA325" s="30"/>
      <c r="AB325" s="34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</row>
    <row r="326" spans="1:41" s="39" customFormat="1" ht="22.5" customHeight="1">
      <c r="A326" s="32"/>
      <c r="B326" s="138" t="s">
        <v>102</v>
      </c>
      <c r="C326" s="105" t="s">
        <v>2</v>
      </c>
      <c r="D326" s="29" t="s">
        <v>30</v>
      </c>
      <c r="E326" s="16" t="s">
        <v>216</v>
      </c>
      <c r="F326" s="15"/>
      <c r="G326" s="15"/>
      <c r="H326" s="15"/>
      <c r="I326" s="17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8"/>
      <c r="X326" s="30"/>
      <c r="Y326" s="30"/>
      <c r="Z326" s="30"/>
      <c r="AA326" s="30"/>
      <c r="AB326" s="34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</row>
    <row r="327" spans="1:41" s="39" customFormat="1" ht="21" customHeight="1">
      <c r="A327" s="32">
        <v>6</v>
      </c>
      <c r="B327" s="139"/>
      <c r="C327" s="106" t="str">
        <f>IF(A327="","VARA",VLOOKUP(A327,'[1]varas'!$A$4:$B$67,2))</f>
        <v>6ª VT Recife</v>
      </c>
      <c r="D327" s="15"/>
      <c r="E327" s="16"/>
      <c r="F327" s="15">
        <f>38+19+6+3</f>
        <v>66</v>
      </c>
      <c r="G327" s="15">
        <v>6</v>
      </c>
      <c r="H327" s="15">
        <v>7</v>
      </c>
      <c r="I327" s="17">
        <f>SUM(F327:H327)</f>
        <v>79</v>
      </c>
      <c r="J327" s="15">
        <v>13</v>
      </c>
      <c r="K327" s="15">
        <v>9</v>
      </c>
      <c r="L327" s="15">
        <v>6</v>
      </c>
      <c r="M327" s="15">
        <v>3</v>
      </c>
      <c r="N327" s="15">
        <v>0</v>
      </c>
      <c r="O327" s="15">
        <v>19</v>
      </c>
      <c r="P327" s="15">
        <f>SUM(J327:O327)</f>
        <v>50</v>
      </c>
      <c r="Q327" s="15">
        <v>20</v>
      </c>
      <c r="R327" s="15">
        <v>9</v>
      </c>
      <c r="S327" s="15">
        <v>0</v>
      </c>
      <c r="T327" s="15">
        <v>0</v>
      </c>
      <c r="U327" s="15">
        <v>103</v>
      </c>
      <c r="V327" s="18"/>
      <c r="W327" s="18"/>
      <c r="X327" s="30"/>
      <c r="Y327" s="30"/>
      <c r="Z327" s="30"/>
      <c r="AA327" s="30"/>
      <c r="AB327" s="34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</row>
    <row r="328" spans="1:41" s="53" customFormat="1" ht="25.5" customHeight="1">
      <c r="A328" s="47"/>
      <c r="B328" s="135"/>
      <c r="C328" s="107" t="s">
        <v>12</v>
      </c>
      <c r="D328" s="51"/>
      <c r="E328" s="52"/>
      <c r="F328" s="24">
        <f>SUM(F326:F327)</f>
        <v>66</v>
      </c>
      <c r="G328" s="24">
        <f>SUM(G326:G327)</f>
        <v>6</v>
      </c>
      <c r="H328" s="24">
        <f>SUM(H326:H327)</f>
        <v>7</v>
      </c>
      <c r="I328" s="25">
        <f>SUM(F328:H328)</f>
        <v>79</v>
      </c>
      <c r="J328" s="24">
        <f aca="true" t="shared" si="93" ref="J328:O328">SUM(J326:J327)</f>
        <v>13</v>
      </c>
      <c r="K328" s="24">
        <f t="shared" si="93"/>
        <v>9</v>
      </c>
      <c r="L328" s="24">
        <f t="shared" si="93"/>
        <v>6</v>
      </c>
      <c r="M328" s="24">
        <f t="shared" si="93"/>
        <v>3</v>
      </c>
      <c r="N328" s="24">
        <f t="shared" si="93"/>
        <v>0</v>
      </c>
      <c r="O328" s="24">
        <f t="shared" si="93"/>
        <v>19</v>
      </c>
      <c r="P328" s="24">
        <f>SUM(J328:O328)</f>
        <v>50</v>
      </c>
      <c r="Q328" s="24">
        <f>SUM(Q326:Q327)</f>
        <v>20</v>
      </c>
      <c r="R328" s="24">
        <f>SUM(R326:R327)</f>
        <v>9</v>
      </c>
      <c r="S328" s="24">
        <f>SUM(S326:S327)</f>
        <v>0</v>
      </c>
      <c r="T328" s="24">
        <f>SUM(T326:T327)</f>
        <v>0</v>
      </c>
      <c r="U328" s="24">
        <f>SUM(U326:U327)</f>
        <v>103</v>
      </c>
      <c r="V328" s="26">
        <f>IF(I328-Q328=0,"",IF(D328="",(P328+S328)/(I328-Q328),IF(AND(D328&lt;&gt;"",(P328+S328)/(I328-Q328)&gt;=50%),(P328+S328)/(I328-Q328),"")))</f>
        <v>0.847457627118644</v>
      </c>
      <c r="W328" s="26">
        <f>IF(I328=O328,"",IF(V328="",0,(P328+Q328+S328-O328)/(I328-O328)))</f>
        <v>0.85</v>
      </c>
      <c r="X328" s="49"/>
      <c r="Y328" s="49"/>
      <c r="Z328" s="49"/>
      <c r="AA328" s="49"/>
      <c r="AB328" s="50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</row>
    <row r="329" spans="1:41" s="39" customFormat="1" ht="22.5" customHeight="1">
      <c r="A329" s="32"/>
      <c r="B329" s="138" t="s">
        <v>103</v>
      </c>
      <c r="C329" s="105" t="s">
        <v>154</v>
      </c>
      <c r="D329" s="29" t="s">
        <v>220</v>
      </c>
      <c r="E329" s="16" t="s">
        <v>221</v>
      </c>
      <c r="F329" s="15"/>
      <c r="G329" s="15"/>
      <c r="H329" s="15"/>
      <c r="I329" s="17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8"/>
      <c r="X329" s="30"/>
      <c r="Y329" s="30"/>
      <c r="Z329" s="30"/>
      <c r="AA329" s="30"/>
      <c r="AB329" s="34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</row>
    <row r="330" spans="1:41" s="39" customFormat="1" ht="21.75" customHeight="1">
      <c r="A330" s="32">
        <v>23</v>
      </c>
      <c r="B330" s="139"/>
      <c r="C330" s="106" t="str">
        <f>IF(A330="","VARA",VLOOKUP(A330,'[1]varas'!$A$4:$B$67,2))</f>
        <v>23ª VT Recife</v>
      </c>
      <c r="D330" s="29"/>
      <c r="E330" s="16"/>
      <c r="F330" s="15">
        <f>11+4+2</f>
        <v>17</v>
      </c>
      <c r="G330" s="15">
        <v>10</v>
      </c>
      <c r="H330" s="15">
        <v>7</v>
      </c>
      <c r="I330" s="17">
        <f>SUM(F330:H330)</f>
        <v>34</v>
      </c>
      <c r="J330" s="15">
        <v>5</v>
      </c>
      <c r="K330" s="15">
        <v>0</v>
      </c>
      <c r="L330" s="15">
        <v>2</v>
      </c>
      <c r="M330" s="15">
        <v>0</v>
      </c>
      <c r="N330" s="15">
        <v>0</v>
      </c>
      <c r="O330" s="15">
        <v>4</v>
      </c>
      <c r="P330" s="15">
        <f>SUM(J330:O330)</f>
        <v>11</v>
      </c>
      <c r="Q330" s="15">
        <v>11</v>
      </c>
      <c r="R330" s="15">
        <v>12</v>
      </c>
      <c r="S330" s="15">
        <v>0</v>
      </c>
      <c r="T330" s="15">
        <v>0</v>
      </c>
      <c r="U330" s="15">
        <v>37</v>
      </c>
      <c r="V330" s="18"/>
      <c r="W330" s="18"/>
      <c r="X330" s="30"/>
      <c r="Y330" s="30"/>
      <c r="Z330" s="30"/>
      <c r="AA330" s="30"/>
      <c r="AB330" s="34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</row>
    <row r="331" spans="1:41" s="53" customFormat="1" ht="19.5" customHeight="1">
      <c r="A331" s="47"/>
      <c r="B331" s="135"/>
      <c r="C331" s="106" t="s">
        <v>12</v>
      </c>
      <c r="D331" s="24"/>
      <c r="E331" s="48"/>
      <c r="F331" s="24">
        <f>SUM(F329:F330)</f>
        <v>17</v>
      </c>
      <c r="G331" s="24">
        <f>SUM(G329:G330)</f>
        <v>10</v>
      </c>
      <c r="H331" s="24">
        <f>SUM(H329:H330)</f>
        <v>7</v>
      </c>
      <c r="I331" s="40">
        <f>SUM(F331:H331)</f>
        <v>34</v>
      </c>
      <c r="J331" s="24">
        <f aca="true" t="shared" si="94" ref="J331:O331">SUM(J329:J330)</f>
        <v>5</v>
      </c>
      <c r="K331" s="24">
        <f t="shared" si="94"/>
        <v>0</v>
      </c>
      <c r="L331" s="24">
        <f t="shared" si="94"/>
        <v>2</v>
      </c>
      <c r="M331" s="24">
        <f t="shared" si="94"/>
        <v>0</v>
      </c>
      <c r="N331" s="24">
        <f t="shared" si="94"/>
        <v>0</v>
      </c>
      <c r="O331" s="24">
        <f t="shared" si="94"/>
        <v>4</v>
      </c>
      <c r="P331" s="24">
        <f>SUM(J331:O331)</f>
        <v>11</v>
      </c>
      <c r="Q331" s="24">
        <f>SUM(Q329:Q330)</f>
        <v>11</v>
      </c>
      <c r="R331" s="24">
        <f>SUM(R329:R330)</f>
        <v>12</v>
      </c>
      <c r="S331" s="24">
        <f>SUM(S329:S330)</f>
        <v>0</v>
      </c>
      <c r="T331" s="24">
        <f>SUM(T329:T330)</f>
        <v>0</v>
      </c>
      <c r="U331" s="24">
        <f>SUM(U329:U330)</f>
        <v>37</v>
      </c>
      <c r="V331" s="26">
        <f>IF(I331-Q331=0,"",IF(D331="",(P331+S331)/(I331-Q331),IF(AND(D331&lt;&gt;"",(P331+S331)/(I331-Q331)&gt;=50%),(P331+S331)/(I331-Q331),"")))</f>
        <v>0.4782608695652174</v>
      </c>
      <c r="W331" s="26">
        <f>IF(I331=O331,"",IF(V331="",0,(P331+Q331+S331-O331)/(I331-O331)))</f>
        <v>0.6</v>
      </c>
      <c r="X331" s="49"/>
      <c r="Y331" s="49"/>
      <c r="Z331" s="49"/>
      <c r="AA331" s="49"/>
      <c r="AB331" s="50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</row>
    <row r="332" spans="1:41" s="39" customFormat="1" ht="26.25" customHeight="1">
      <c r="A332" s="32"/>
      <c r="B332" s="138" t="s">
        <v>104</v>
      </c>
      <c r="C332" s="105" t="s">
        <v>2</v>
      </c>
      <c r="D332" s="29"/>
      <c r="E332" s="16" t="s">
        <v>27</v>
      </c>
      <c r="F332" s="15"/>
      <c r="G332" s="15"/>
      <c r="H332" s="15"/>
      <c r="I332" s="17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8"/>
      <c r="X332" s="30"/>
      <c r="Y332" s="30"/>
      <c r="Z332" s="30"/>
      <c r="AA332" s="30"/>
      <c r="AB332" s="34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</row>
    <row r="333" spans="1:41" s="39" customFormat="1" ht="26.25" customHeight="1">
      <c r="A333" s="32">
        <v>11</v>
      </c>
      <c r="B333" s="140"/>
      <c r="C333" s="106" t="str">
        <f>IF(A333="","VARA",VLOOKUP(A333,'[1]varas'!$A$4:$B$67,2))</f>
        <v>11ª VT Recife</v>
      </c>
      <c r="D333" s="29"/>
      <c r="E333" s="16"/>
      <c r="F333" s="15">
        <v>1</v>
      </c>
      <c r="G333" s="15">
        <v>0</v>
      </c>
      <c r="H333" s="15">
        <v>0</v>
      </c>
      <c r="I333" s="17">
        <f>SUM(F333:H333)</f>
        <v>1</v>
      </c>
      <c r="J333" s="15">
        <v>1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f>SUM(J333:O333)</f>
        <v>1</v>
      </c>
      <c r="Q333" s="15">
        <v>0</v>
      </c>
      <c r="R333" s="15">
        <v>0</v>
      </c>
      <c r="S333" s="15">
        <v>0</v>
      </c>
      <c r="T333" s="15">
        <v>0</v>
      </c>
      <c r="U333" s="15">
        <v>30</v>
      </c>
      <c r="V333" s="18"/>
      <c r="W333" s="18"/>
      <c r="X333" s="30"/>
      <c r="Y333" s="30"/>
      <c r="Z333" s="30"/>
      <c r="AA333" s="30"/>
      <c r="AB333" s="34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</row>
    <row r="334" spans="1:41" s="39" customFormat="1" ht="20.25" customHeight="1">
      <c r="A334" s="32">
        <v>13</v>
      </c>
      <c r="B334" s="139"/>
      <c r="C334" s="106" t="str">
        <f>IF(A334="","VARA",VLOOKUP(A334,'[1]varas'!$A$4:$B$67,2))</f>
        <v>13ª VT Recife</v>
      </c>
      <c r="D334" s="29"/>
      <c r="E334" s="16"/>
      <c r="F334" s="15">
        <f>23+7+4</f>
        <v>34</v>
      </c>
      <c r="G334" s="15">
        <v>6</v>
      </c>
      <c r="H334" s="15">
        <v>0</v>
      </c>
      <c r="I334" s="17">
        <f>SUM(F334:H334)</f>
        <v>40</v>
      </c>
      <c r="J334" s="15">
        <v>16</v>
      </c>
      <c r="K334" s="15">
        <v>2</v>
      </c>
      <c r="L334" s="15">
        <v>4</v>
      </c>
      <c r="M334" s="15">
        <v>0</v>
      </c>
      <c r="N334" s="15">
        <v>0</v>
      </c>
      <c r="O334" s="15">
        <v>7</v>
      </c>
      <c r="P334" s="15">
        <f>SUM(J334:O334)</f>
        <v>29</v>
      </c>
      <c r="Q334" s="15">
        <v>11</v>
      </c>
      <c r="R334" s="15">
        <v>0</v>
      </c>
      <c r="S334" s="15">
        <v>0</v>
      </c>
      <c r="T334" s="15">
        <v>0</v>
      </c>
      <c r="U334" s="15">
        <v>99</v>
      </c>
      <c r="V334" s="18"/>
      <c r="W334" s="18"/>
      <c r="X334" s="30"/>
      <c r="Y334" s="30"/>
      <c r="Z334" s="30"/>
      <c r="AA334" s="30"/>
      <c r="AB334" s="34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</row>
    <row r="335" spans="1:41" s="39" customFormat="1" ht="21" customHeight="1">
      <c r="A335" s="32"/>
      <c r="B335" s="135"/>
      <c r="C335" s="107" t="s">
        <v>12</v>
      </c>
      <c r="D335" s="33"/>
      <c r="E335" s="23"/>
      <c r="F335" s="24">
        <f>SUM(F332:F334)</f>
        <v>35</v>
      </c>
      <c r="G335" s="24">
        <f>SUM(G332:G334)</f>
        <v>6</v>
      </c>
      <c r="H335" s="24">
        <f>SUM(H332:H334)</f>
        <v>0</v>
      </c>
      <c r="I335" s="40">
        <f>SUM(F335:H335)</f>
        <v>41</v>
      </c>
      <c r="J335" s="24">
        <f aca="true" t="shared" si="95" ref="J335:O335">SUM(J332:J334)</f>
        <v>17</v>
      </c>
      <c r="K335" s="24">
        <f t="shared" si="95"/>
        <v>2</v>
      </c>
      <c r="L335" s="24">
        <f t="shared" si="95"/>
        <v>4</v>
      </c>
      <c r="M335" s="24">
        <f t="shared" si="95"/>
        <v>0</v>
      </c>
      <c r="N335" s="24">
        <f t="shared" si="95"/>
        <v>0</v>
      </c>
      <c r="O335" s="24">
        <f t="shared" si="95"/>
        <v>7</v>
      </c>
      <c r="P335" s="24">
        <f>SUM(J335:O335)</f>
        <v>30</v>
      </c>
      <c r="Q335" s="24">
        <f>SUM(Q332:Q334)</f>
        <v>11</v>
      </c>
      <c r="R335" s="24">
        <f>SUM(R332:R334)</f>
        <v>0</v>
      </c>
      <c r="S335" s="24">
        <f>SUM(S332:S334)</f>
        <v>0</v>
      </c>
      <c r="T335" s="24">
        <f>SUM(T332:T334)</f>
        <v>0</v>
      </c>
      <c r="U335" s="24">
        <f>SUM(U332:U334)</f>
        <v>129</v>
      </c>
      <c r="V335" s="26">
        <f>IF(I335-Q335=0,"",IF(D335="",(P335+S335)/(I335-Q335),IF(AND(D335&lt;&gt;"",(P335+S335)/(I335-Q335)&gt;=50%),(P335+S335)/(I335-Q335),"")))</f>
        <v>1</v>
      </c>
      <c r="W335" s="26">
        <f>IF(I335=O335,"",IF(V335="",0,(P335+Q335+S335-O335)/(I335-O335)))</f>
        <v>1</v>
      </c>
      <c r="X335" s="30"/>
      <c r="Y335" s="30"/>
      <c r="Z335" s="30"/>
      <c r="AA335" s="30"/>
      <c r="AB335" s="34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</row>
    <row r="336" spans="1:41" s="39" customFormat="1" ht="23.25" customHeight="1">
      <c r="A336" s="32"/>
      <c r="B336" s="138" t="s">
        <v>105</v>
      </c>
      <c r="C336" s="106" t="s">
        <v>2</v>
      </c>
      <c r="D336" s="29" t="s">
        <v>181</v>
      </c>
      <c r="E336" s="16" t="s">
        <v>182</v>
      </c>
      <c r="F336" s="15"/>
      <c r="G336" s="15"/>
      <c r="H336" s="15"/>
      <c r="I336" s="17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8"/>
      <c r="X336" s="30"/>
      <c r="Y336" s="30"/>
      <c r="Z336" s="30"/>
      <c r="AA336" s="30"/>
      <c r="AB336" s="34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</row>
    <row r="337" spans="1:41" s="39" customFormat="1" ht="20.25" customHeight="1">
      <c r="A337" s="32">
        <v>21</v>
      </c>
      <c r="B337" s="140"/>
      <c r="C337" s="106" t="str">
        <f>IF(A337="","VARA",VLOOKUP(A337,'[1]varas'!$A$4:$B$67,2))</f>
        <v>21ª VT Recife</v>
      </c>
      <c r="D337" s="15"/>
      <c r="E337" s="16"/>
      <c r="F337" s="15">
        <v>0</v>
      </c>
      <c r="G337" s="15">
        <v>0</v>
      </c>
      <c r="H337" s="15">
        <v>0</v>
      </c>
      <c r="I337" s="17">
        <f>SUM(F337:H337)</f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f>SUM(J337:O337)</f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8"/>
      <c r="W337" s="18"/>
      <c r="X337" s="30"/>
      <c r="Y337" s="30"/>
      <c r="Z337" s="30"/>
      <c r="AA337" s="30"/>
      <c r="AB337" s="34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</row>
    <row r="338" spans="1:41" s="53" customFormat="1" ht="27.75" customHeight="1">
      <c r="A338" s="47"/>
      <c r="B338" s="135"/>
      <c r="C338" s="107" t="s">
        <v>12</v>
      </c>
      <c r="D338" s="51"/>
      <c r="E338" s="52"/>
      <c r="F338" s="24">
        <f>SUM(F336:F337)</f>
        <v>0</v>
      </c>
      <c r="G338" s="24">
        <f>SUM(G336:G337)</f>
        <v>0</v>
      </c>
      <c r="H338" s="24">
        <f>SUM(H336:H337)</f>
        <v>0</v>
      </c>
      <c r="I338" s="25">
        <f>SUM(F338:H338)</f>
        <v>0</v>
      </c>
      <c r="J338" s="24">
        <f aca="true" t="shared" si="96" ref="J338:O338">SUM(J336:J337)</f>
        <v>0</v>
      </c>
      <c r="K338" s="24">
        <f t="shared" si="96"/>
        <v>0</v>
      </c>
      <c r="L338" s="24">
        <f t="shared" si="96"/>
        <v>0</v>
      </c>
      <c r="M338" s="24">
        <f t="shared" si="96"/>
        <v>0</v>
      </c>
      <c r="N338" s="24">
        <f t="shared" si="96"/>
        <v>0</v>
      </c>
      <c r="O338" s="24">
        <f t="shared" si="96"/>
        <v>0</v>
      </c>
      <c r="P338" s="24">
        <f>SUM(J338:O338)</f>
        <v>0</v>
      </c>
      <c r="Q338" s="24">
        <f>SUM(Q336:Q337)</f>
        <v>0</v>
      </c>
      <c r="R338" s="24">
        <f>SUM(R336:R337)</f>
        <v>0</v>
      </c>
      <c r="S338" s="24">
        <f>SUM(S336:S337)</f>
        <v>0</v>
      </c>
      <c r="T338" s="24">
        <f>SUM(T336:T337)</f>
        <v>0</v>
      </c>
      <c r="U338" s="24">
        <f>SUM(U336:U337)</f>
        <v>0</v>
      </c>
      <c r="V338" s="26">
        <f>IF(I338-Q338=0,"",IF(D338="",(P338+S338)/(I338-Q338),IF(AND(D338&lt;&gt;"",(P338+S338)/(I338-Q338)&gt;=50%),(P338+S338)/(I338-Q338),"")))</f>
      </c>
      <c r="W338" s="26">
        <f>IF(I338=O338,"",IF(V338="",0,(P338+Q338+S338-O338)/(I338-O338)))</f>
      </c>
      <c r="X338" s="49"/>
      <c r="Y338" s="49"/>
      <c r="Z338" s="49"/>
      <c r="AA338" s="49"/>
      <c r="AB338" s="50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</row>
    <row r="339" spans="1:41" s="39" customFormat="1" ht="22.5" customHeight="1">
      <c r="A339" s="32"/>
      <c r="B339" s="130" t="s">
        <v>106</v>
      </c>
      <c r="C339" s="14" t="s">
        <v>2</v>
      </c>
      <c r="D339" s="29"/>
      <c r="E339" s="16" t="s">
        <v>27</v>
      </c>
      <c r="F339" s="15"/>
      <c r="G339" s="15"/>
      <c r="H339" s="15"/>
      <c r="I339" s="17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8"/>
      <c r="X339" s="30"/>
      <c r="Y339" s="30"/>
      <c r="Z339" s="30"/>
      <c r="AA339" s="30"/>
      <c r="AB339" s="34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</row>
    <row r="340" spans="1:41" s="39" customFormat="1" ht="25.5" customHeight="1">
      <c r="A340" s="32">
        <v>1</v>
      </c>
      <c r="B340" s="137"/>
      <c r="C340" s="20" t="str">
        <f>IF(A340="","VARA",VLOOKUP(A340,'[1]varas'!$A$4:$B$67,2))</f>
        <v>1ª VT Recife</v>
      </c>
      <c r="D340" s="29"/>
      <c r="E340" s="16"/>
      <c r="F340" s="15">
        <f>43+20+8</f>
        <v>71</v>
      </c>
      <c r="G340" s="15">
        <v>6</v>
      </c>
      <c r="H340" s="15">
        <v>0</v>
      </c>
      <c r="I340" s="17">
        <f>SUM(F340:H340)</f>
        <v>77</v>
      </c>
      <c r="J340" s="15">
        <v>27</v>
      </c>
      <c r="K340" s="15">
        <v>7</v>
      </c>
      <c r="L340" s="15">
        <v>4</v>
      </c>
      <c r="M340" s="15">
        <v>4</v>
      </c>
      <c r="N340" s="15">
        <v>0</v>
      </c>
      <c r="O340" s="15">
        <v>20</v>
      </c>
      <c r="P340" s="15">
        <f>SUM(J340:O340)</f>
        <v>62</v>
      </c>
      <c r="Q340" s="15">
        <v>14</v>
      </c>
      <c r="R340" s="15">
        <v>1</v>
      </c>
      <c r="S340" s="15">
        <v>0</v>
      </c>
      <c r="T340" s="15">
        <v>0</v>
      </c>
      <c r="U340" s="15">
        <v>113</v>
      </c>
      <c r="V340" s="18"/>
      <c r="W340" s="18"/>
      <c r="X340" s="30"/>
      <c r="Y340" s="30"/>
      <c r="Z340" s="30"/>
      <c r="AA340" s="30"/>
      <c r="AB340" s="34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</row>
    <row r="341" spans="1:41" s="39" customFormat="1" ht="23.25" customHeight="1">
      <c r="A341" s="32"/>
      <c r="B341" s="137"/>
      <c r="C341" s="21" t="s">
        <v>12</v>
      </c>
      <c r="D341" s="33"/>
      <c r="E341" s="23"/>
      <c r="F341" s="24">
        <f>SUM(F339:F340)</f>
        <v>71</v>
      </c>
      <c r="G341" s="24">
        <f>SUM(G339:G340)</f>
        <v>6</v>
      </c>
      <c r="H341" s="24">
        <f>SUM(H339:H340)</f>
        <v>0</v>
      </c>
      <c r="I341" s="40">
        <f>SUM(F341:H341)</f>
        <v>77</v>
      </c>
      <c r="J341" s="24">
        <f aca="true" t="shared" si="97" ref="J341:O341">SUM(J339:J340)</f>
        <v>27</v>
      </c>
      <c r="K341" s="24">
        <f t="shared" si="97"/>
        <v>7</v>
      </c>
      <c r="L341" s="24">
        <f t="shared" si="97"/>
        <v>4</v>
      </c>
      <c r="M341" s="24">
        <f t="shared" si="97"/>
        <v>4</v>
      </c>
      <c r="N341" s="24">
        <f t="shared" si="97"/>
        <v>0</v>
      </c>
      <c r="O341" s="24">
        <f t="shared" si="97"/>
        <v>20</v>
      </c>
      <c r="P341" s="24">
        <f>SUM(J341:O341)</f>
        <v>62</v>
      </c>
      <c r="Q341" s="24">
        <f>SUM(Q339:Q340)</f>
        <v>14</v>
      </c>
      <c r="R341" s="24">
        <f>SUM(R339:R340)</f>
        <v>1</v>
      </c>
      <c r="S341" s="24">
        <f>SUM(S339:S340)</f>
        <v>0</v>
      </c>
      <c r="T341" s="24">
        <f>SUM(T339:T340)</f>
        <v>0</v>
      </c>
      <c r="U341" s="24">
        <f>SUM(U339:U340)</f>
        <v>113</v>
      </c>
      <c r="V341" s="26">
        <f>IF(I341-Q341=0,"",IF(D341="",(P341+S341)/(I341-Q341),IF(AND(D341&lt;&gt;"",(P341+S341)/(I341-Q341)&gt;=50%),(P341+S341)/(I341-Q341),"")))</f>
        <v>0.9841269841269841</v>
      </c>
      <c r="W341" s="26">
        <f>IF(I341=O341,"",IF(V341="",0,(P341+Q341+S341-O341)/(I341-O341)))</f>
        <v>0.9824561403508771</v>
      </c>
      <c r="X341" s="30"/>
      <c r="Y341" s="30"/>
      <c r="Z341" s="30"/>
      <c r="AA341" s="30"/>
      <c r="AB341" s="34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</row>
    <row r="342" spans="1:41" s="39" customFormat="1" ht="24.75" customHeight="1">
      <c r="A342" s="32"/>
      <c r="B342" s="149" t="s">
        <v>177</v>
      </c>
      <c r="C342" s="109" t="s">
        <v>178</v>
      </c>
      <c r="D342" s="103"/>
      <c r="E342" s="91" t="s">
        <v>27</v>
      </c>
      <c r="F342" s="92"/>
      <c r="G342" s="92"/>
      <c r="H342" s="92"/>
      <c r="I342" s="93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4"/>
      <c r="W342" s="94"/>
      <c r="X342" s="30"/>
      <c r="Y342" s="30"/>
      <c r="Z342" s="30"/>
      <c r="AA342" s="30"/>
      <c r="AB342" s="34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</row>
    <row r="343" spans="1:41" s="39" customFormat="1" ht="20.25" customHeight="1">
      <c r="A343" s="32">
        <v>35</v>
      </c>
      <c r="B343" s="150"/>
      <c r="C343" s="110" t="str">
        <f>IF(A343="","VARA",VLOOKUP(A343,'[1]varas'!$A$4:$B$67,2))</f>
        <v>2ª VT Jaboatão</v>
      </c>
      <c r="D343" s="103"/>
      <c r="E343" s="91"/>
      <c r="F343" s="92">
        <v>19</v>
      </c>
      <c r="G343" s="92">
        <v>0</v>
      </c>
      <c r="H343" s="92">
        <v>0</v>
      </c>
      <c r="I343" s="93">
        <f>SUM(F343:H343)</f>
        <v>19</v>
      </c>
      <c r="J343" s="92">
        <v>3</v>
      </c>
      <c r="K343" s="92">
        <v>5</v>
      </c>
      <c r="L343" s="92">
        <v>1</v>
      </c>
      <c r="M343" s="92">
        <v>0</v>
      </c>
      <c r="N343" s="92">
        <v>0</v>
      </c>
      <c r="O343" s="92">
        <v>10</v>
      </c>
      <c r="P343" s="92">
        <f>SUM(J343:O343)</f>
        <v>19</v>
      </c>
      <c r="Q343" s="92">
        <v>0</v>
      </c>
      <c r="R343" s="92">
        <v>0</v>
      </c>
      <c r="S343" s="92">
        <v>0</v>
      </c>
      <c r="T343" s="92">
        <v>0</v>
      </c>
      <c r="U343" s="92">
        <v>9</v>
      </c>
      <c r="V343" s="94"/>
      <c r="W343" s="94"/>
      <c r="X343" s="30"/>
      <c r="Y343" s="30"/>
      <c r="Z343" s="30"/>
      <c r="AA343" s="30"/>
      <c r="AB343" s="34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</row>
    <row r="344" spans="1:41" s="39" customFormat="1" ht="21.75" customHeight="1">
      <c r="A344" s="32"/>
      <c r="B344" s="151"/>
      <c r="C344" s="111" t="s">
        <v>12</v>
      </c>
      <c r="D344" s="97"/>
      <c r="E344" s="98"/>
      <c r="F344" s="99">
        <f>SUM(F342:F343)</f>
        <v>19</v>
      </c>
      <c r="G344" s="99">
        <f>SUM(G342:G343)</f>
        <v>0</v>
      </c>
      <c r="H344" s="99">
        <f>SUM(H342:H343)</f>
        <v>0</v>
      </c>
      <c r="I344" s="100">
        <f>SUM(F344:H344)</f>
        <v>19</v>
      </c>
      <c r="J344" s="99">
        <f aca="true" t="shared" si="98" ref="J344:O344">SUM(J342:J343)</f>
        <v>3</v>
      </c>
      <c r="K344" s="99">
        <f t="shared" si="98"/>
        <v>5</v>
      </c>
      <c r="L344" s="99">
        <f t="shared" si="98"/>
        <v>1</v>
      </c>
      <c r="M344" s="99">
        <f t="shared" si="98"/>
        <v>0</v>
      </c>
      <c r="N344" s="99">
        <f t="shared" si="98"/>
        <v>0</v>
      </c>
      <c r="O344" s="99">
        <f t="shared" si="98"/>
        <v>10</v>
      </c>
      <c r="P344" s="99">
        <f>SUM(J344:O344)</f>
        <v>19</v>
      </c>
      <c r="Q344" s="99">
        <f>SUM(Q342:Q343)</f>
        <v>0</v>
      </c>
      <c r="R344" s="99">
        <f>SUM(R342:R343)</f>
        <v>0</v>
      </c>
      <c r="S344" s="99">
        <f>SUM(S342:S343)</f>
        <v>0</v>
      </c>
      <c r="T344" s="99">
        <f>SUM(T342:T343)</f>
        <v>0</v>
      </c>
      <c r="U344" s="99">
        <f>SUM(U342:U343)</f>
        <v>9</v>
      </c>
      <c r="V344" s="101">
        <f>IF(I344-Q344=0,"",IF(D344="",(P344+S344)/(I344-Q344),IF(AND(D344&lt;&gt;"",(P344+S344)/(I344-Q344)&gt;=50%),(P344+S344)/(I344-Q344),"")))</f>
        <v>1</v>
      </c>
      <c r="W344" s="101">
        <f>IF(I344=O344,"",IF(V344="",0,(P344+Q344+S344-O344)/(I344-O344)))</f>
        <v>1</v>
      </c>
      <c r="X344" s="30"/>
      <c r="Y344" s="30"/>
      <c r="Z344" s="30"/>
      <c r="AA344" s="30"/>
      <c r="AB344" s="34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</row>
    <row r="345" spans="1:41" s="39" customFormat="1" ht="22.5" customHeight="1">
      <c r="A345" s="32"/>
      <c r="B345" s="137" t="s">
        <v>107</v>
      </c>
      <c r="C345" s="14" t="s">
        <v>2</v>
      </c>
      <c r="D345" s="29"/>
      <c r="E345" s="16" t="s">
        <v>27</v>
      </c>
      <c r="F345" s="15"/>
      <c r="G345" s="15"/>
      <c r="H345" s="15"/>
      <c r="I345" s="17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8"/>
      <c r="X345" s="30"/>
      <c r="Y345" s="30"/>
      <c r="Z345" s="30"/>
      <c r="AA345" s="30"/>
      <c r="AB345" s="34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</row>
    <row r="346" spans="1:41" s="39" customFormat="1" ht="20.25" customHeight="1">
      <c r="A346" s="32">
        <v>16</v>
      </c>
      <c r="B346" s="137"/>
      <c r="C346" s="20" t="str">
        <f>IF(A346="","VARA",VLOOKUP(A346,'[1]varas'!$A$4:$B$67,2))</f>
        <v>16ª VT Recife</v>
      </c>
      <c r="D346" s="15"/>
      <c r="E346" s="16"/>
      <c r="F346" s="15">
        <f>32+23+12</f>
        <v>67</v>
      </c>
      <c r="G346" s="15">
        <v>6</v>
      </c>
      <c r="H346" s="15">
        <v>0</v>
      </c>
      <c r="I346" s="17">
        <f>SUM(F346:H346)</f>
        <v>73</v>
      </c>
      <c r="J346" s="15">
        <v>17</v>
      </c>
      <c r="K346" s="15">
        <v>2</v>
      </c>
      <c r="L346" s="15">
        <v>10</v>
      </c>
      <c r="M346" s="15">
        <v>2</v>
      </c>
      <c r="N346" s="15">
        <v>0</v>
      </c>
      <c r="O346" s="15">
        <v>23</v>
      </c>
      <c r="P346" s="15">
        <f>SUM(J346:O346)</f>
        <v>54</v>
      </c>
      <c r="Q346" s="15">
        <v>19</v>
      </c>
      <c r="R346" s="15">
        <v>0</v>
      </c>
      <c r="S346" s="15">
        <v>0</v>
      </c>
      <c r="T346" s="15">
        <v>0</v>
      </c>
      <c r="U346" s="15">
        <v>109</v>
      </c>
      <c r="V346" s="18"/>
      <c r="W346" s="18"/>
      <c r="X346" s="30"/>
      <c r="Y346" s="30"/>
      <c r="Z346" s="30"/>
      <c r="AA346" s="30"/>
      <c r="AB346" s="34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</row>
    <row r="347" spans="1:41" s="53" customFormat="1" ht="19.5" customHeight="1">
      <c r="A347" s="47"/>
      <c r="B347" s="137"/>
      <c r="C347" s="21" t="s">
        <v>12</v>
      </c>
      <c r="D347" s="51"/>
      <c r="E347" s="52"/>
      <c r="F347" s="24">
        <f>SUM(F345:F346)</f>
        <v>67</v>
      </c>
      <c r="G347" s="24">
        <f>SUM(G345:G346)</f>
        <v>6</v>
      </c>
      <c r="H347" s="24">
        <f>SUM(H345:H346)</f>
        <v>0</v>
      </c>
      <c r="I347" s="25">
        <f>SUM(F347:H347)</f>
        <v>73</v>
      </c>
      <c r="J347" s="24">
        <f aca="true" t="shared" si="99" ref="J347:O347">SUM(J345:J346)</f>
        <v>17</v>
      </c>
      <c r="K347" s="24">
        <f t="shared" si="99"/>
        <v>2</v>
      </c>
      <c r="L347" s="24">
        <f t="shared" si="99"/>
        <v>10</v>
      </c>
      <c r="M347" s="24">
        <f t="shared" si="99"/>
        <v>2</v>
      </c>
      <c r="N347" s="24">
        <f t="shared" si="99"/>
        <v>0</v>
      </c>
      <c r="O347" s="24">
        <f t="shared" si="99"/>
        <v>23</v>
      </c>
      <c r="P347" s="24">
        <f>SUM(J347:O347)</f>
        <v>54</v>
      </c>
      <c r="Q347" s="24">
        <f>SUM(Q345:Q346)</f>
        <v>19</v>
      </c>
      <c r="R347" s="24">
        <f>SUM(R345:R346)</f>
        <v>0</v>
      </c>
      <c r="S347" s="24">
        <f>SUM(S345:S346)</f>
        <v>0</v>
      </c>
      <c r="T347" s="24">
        <f>SUM(T345:T346)</f>
        <v>0</v>
      </c>
      <c r="U347" s="24">
        <f>SUM(U345:U346)</f>
        <v>109</v>
      </c>
      <c r="V347" s="26">
        <f>IF(I347-Q347=0,"",IF(D347="",(P347+S347)/(I347-Q347),IF(AND(D347&lt;&gt;"",(P347+S347)/(I347-Q347)&gt;=50%),(P347+S347)/(I347-Q347),"")))</f>
        <v>1</v>
      </c>
      <c r="W347" s="26">
        <f>IF(I347=O347,"",IF(V347="",0,(P347+Q347+S347-O347)/(I347-O347)))</f>
        <v>1</v>
      </c>
      <c r="X347" s="49"/>
      <c r="Y347" s="49"/>
      <c r="Z347" s="49"/>
      <c r="AA347" s="49"/>
      <c r="AB347" s="50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</row>
    <row r="348" spans="1:41" s="39" customFormat="1" ht="21.75" customHeight="1">
      <c r="A348" s="32"/>
      <c r="B348" s="137" t="s">
        <v>108</v>
      </c>
      <c r="C348" s="14" t="s">
        <v>2</v>
      </c>
      <c r="D348" s="29" t="s">
        <v>187</v>
      </c>
      <c r="E348" s="16" t="s">
        <v>222</v>
      </c>
      <c r="F348" s="15"/>
      <c r="G348" s="15"/>
      <c r="H348" s="15"/>
      <c r="I348" s="17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8"/>
      <c r="X348" s="30"/>
      <c r="Y348" s="30"/>
      <c r="Z348" s="30"/>
      <c r="AA348" s="30"/>
      <c r="AB348" s="34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</row>
    <row r="349" spans="1:41" s="39" customFormat="1" ht="21" customHeight="1">
      <c r="A349" s="32">
        <v>52</v>
      </c>
      <c r="B349" s="137"/>
      <c r="C349" s="20" t="str">
        <f>IF(A349="","VARA",VLOOKUP(A349,'[1]varas'!$A$4:$B$67,2))</f>
        <v>VT Limoeiro</v>
      </c>
      <c r="D349" s="15"/>
      <c r="E349" s="16"/>
      <c r="F349" s="15">
        <v>0</v>
      </c>
      <c r="G349" s="15">
        <v>0</v>
      </c>
      <c r="H349" s="15">
        <v>0</v>
      </c>
      <c r="I349" s="17">
        <f>SUM(F349:H349)</f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f>SUM(J349:O349)</f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8"/>
      <c r="W349" s="18"/>
      <c r="X349" s="30"/>
      <c r="Y349" s="30"/>
      <c r="Z349" s="30"/>
      <c r="AA349" s="30"/>
      <c r="AB349" s="34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</row>
    <row r="350" spans="1:41" s="39" customFormat="1" ht="21.75" customHeight="1">
      <c r="A350" s="32">
        <v>64</v>
      </c>
      <c r="B350" s="137"/>
      <c r="C350" s="20" t="str">
        <f>IF(A350="","VARA",VLOOKUP(A350,'[1]varas'!$A$4:$B$67,2))</f>
        <v>PAJT Surubim</v>
      </c>
      <c r="D350" s="15"/>
      <c r="E350" s="16"/>
      <c r="F350" s="15">
        <v>0</v>
      </c>
      <c r="G350" s="15">
        <v>0</v>
      </c>
      <c r="H350" s="15">
        <v>0</v>
      </c>
      <c r="I350" s="17">
        <f>SUM(F350:H350)</f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f>SUM(J350:O350)</f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8"/>
      <c r="W350" s="18"/>
      <c r="X350" s="30"/>
      <c r="Y350" s="30"/>
      <c r="Z350" s="30"/>
      <c r="AA350" s="30"/>
      <c r="AB350" s="34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</row>
    <row r="351" spans="1:41" s="53" customFormat="1" ht="19.5" customHeight="1">
      <c r="A351" s="47"/>
      <c r="B351" s="131"/>
      <c r="C351" s="21" t="s">
        <v>12</v>
      </c>
      <c r="D351" s="51"/>
      <c r="E351" s="52"/>
      <c r="F351" s="24">
        <f>SUM(F348:F350)</f>
        <v>0</v>
      </c>
      <c r="G351" s="24">
        <f>SUM(G348:G350)</f>
        <v>0</v>
      </c>
      <c r="H351" s="24">
        <f>SUM(H348:H350)</f>
        <v>0</v>
      </c>
      <c r="I351" s="25">
        <f>SUM(F351:H351)</f>
        <v>0</v>
      </c>
      <c r="J351" s="24">
        <f aca="true" t="shared" si="100" ref="J351:O351">SUM(J348:J350)</f>
        <v>0</v>
      </c>
      <c r="K351" s="24">
        <f t="shared" si="100"/>
        <v>0</v>
      </c>
      <c r="L351" s="24">
        <f t="shared" si="100"/>
        <v>0</v>
      </c>
      <c r="M351" s="24">
        <f t="shared" si="100"/>
        <v>0</v>
      </c>
      <c r="N351" s="24">
        <f t="shared" si="100"/>
        <v>0</v>
      </c>
      <c r="O351" s="24">
        <f t="shared" si="100"/>
        <v>0</v>
      </c>
      <c r="P351" s="24">
        <f>SUM(J351:O351)</f>
        <v>0</v>
      </c>
      <c r="Q351" s="24">
        <f>SUM(Q348:Q350)</f>
        <v>0</v>
      </c>
      <c r="R351" s="24">
        <f>SUM(R348:R350)</f>
        <v>0</v>
      </c>
      <c r="S351" s="24">
        <f>SUM(S348:S350)</f>
        <v>0</v>
      </c>
      <c r="T351" s="24">
        <f>SUM(T348:T350)</f>
        <v>0</v>
      </c>
      <c r="U351" s="24">
        <f>SUM(U348:U350)</f>
        <v>0</v>
      </c>
      <c r="V351" s="26">
        <f>IF(I351-Q351=0,"",IF(D351="",(P351+S351)/(I351-Q351),IF(AND(D351&lt;&gt;"",(P351+S351)/(I351-Q351)&gt;=50%),(P351+S351)/(I351-Q351),"")))</f>
      </c>
      <c r="W351" s="26">
        <f>IF(I351=O351,"",IF(V351="",0,(P351+Q351+S351-O351)/(I351-O351)))</f>
      </c>
      <c r="X351" s="49"/>
      <c r="Y351" s="49"/>
      <c r="Z351" s="49"/>
      <c r="AA351" s="49"/>
      <c r="AB351" s="50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</row>
    <row r="352" spans="1:41" s="39" customFormat="1" ht="22.5" customHeight="1">
      <c r="A352" s="32"/>
      <c r="B352" s="138" t="s">
        <v>109</v>
      </c>
      <c r="C352" s="105" t="s">
        <v>156</v>
      </c>
      <c r="D352" s="29" t="s">
        <v>223</v>
      </c>
      <c r="E352" s="16" t="s">
        <v>224</v>
      </c>
      <c r="F352" s="15"/>
      <c r="G352" s="15"/>
      <c r="H352" s="15"/>
      <c r="I352" s="17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8"/>
      <c r="X352" s="30"/>
      <c r="Y352" s="30"/>
      <c r="Z352" s="30"/>
      <c r="AA352" s="30"/>
      <c r="AB352" s="34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</row>
    <row r="353" spans="1:41" s="39" customFormat="1" ht="18" customHeight="1">
      <c r="A353" s="32">
        <v>50</v>
      </c>
      <c r="B353" s="139"/>
      <c r="C353" s="106" t="str">
        <f>IF(A353="","VARA",VLOOKUP(A353,'[1]varas'!$A$4:$B$67,2))</f>
        <v>VT Garanhuns</v>
      </c>
      <c r="D353" s="29"/>
      <c r="E353" s="16"/>
      <c r="F353" s="15">
        <v>0</v>
      </c>
      <c r="G353" s="15">
        <v>0</v>
      </c>
      <c r="H353" s="15">
        <v>5</v>
      </c>
      <c r="I353" s="17">
        <f>SUM(F353:H353)</f>
        <v>5</v>
      </c>
      <c r="J353" s="15">
        <v>3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f>SUM(J353:O353)</f>
        <v>3</v>
      </c>
      <c r="Q353" s="15">
        <v>0</v>
      </c>
      <c r="R353" s="15">
        <v>2</v>
      </c>
      <c r="S353" s="15">
        <v>0</v>
      </c>
      <c r="T353" s="15">
        <v>0</v>
      </c>
      <c r="U353" s="15">
        <v>0</v>
      </c>
      <c r="V353" s="18"/>
      <c r="W353" s="18"/>
      <c r="X353" s="30"/>
      <c r="Y353" s="30"/>
      <c r="Z353" s="30"/>
      <c r="AA353" s="30"/>
      <c r="AB353" s="34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</row>
    <row r="354" spans="1:41" s="39" customFormat="1" ht="16.5" customHeight="1">
      <c r="A354" s="32"/>
      <c r="B354" s="135"/>
      <c r="C354" s="107" t="s">
        <v>12</v>
      </c>
      <c r="D354" s="33"/>
      <c r="E354" s="23"/>
      <c r="F354" s="24">
        <f>SUM(F352:F353)</f>
        <v>0</v>
      </c>
      <c r="G354" s="24">
        <f>SUM(G352:G353)</f>
        <v>0</v>
      </c>
      <c r="H354" s="24">
        <f>SUM(H352:H353)</f>
        <v>5</v>
      </c>
      <c r="I354" s="40">
        <f>SUM(F354:H354)</f>
        <v>5</v>
      </c>
      <c r="J354" s="24">
        <f aca="true" t="shared" si="101" ref="J354:O354">SUM(J352:J353)</f>
        <v>3</v>
      </c>
      <c r="K354" s="24">
        <f t="shared" si="101"/>
        <v>0</v>
      </c>
      <c r="L354" s="24">
        <f t="shared" si="101"/>
        <v>0</v>
      </c>
      <c r="M354" s="24">
        <f t="shared" si="101"/>
        <v>0</v>
      </c>
      <c r="N354" s="24">
        <f t="shared" si="101"/>
        <v>0</v>
      </c>
      <c r="O354" s="24">
        <f t="shared" si="101"/>
        <v>0</v>
      </c>
      <c r="P354" s="24">
        <f>SUM(J354:O354)</f>
        <v>3</v>
      </c>
      <c r="Q354" s="24">
        <f>SUM(Q352:Q353)</f>
        <v>0</v>
      </c>
      <c r="R354" s="24">
        <f>SUM(R352:R353)</f>
        <v>2</v>
      </c>
      <c r="S354" s="24">
        <f>SUM(S352:S353)</f>
        <v>0</v>
      </c>
      <c r="T354" s="24">
        <f>SUM(T352:T353)</f>
        <v>0</v>
      </c>
      <c r="U354" s="24">
        <f>SUM(U352:U353)</f>
        <v>0</v>
      </c>
      <c r="V354" s="26">
        <f>IF(I354-Q354=0,"",IF(D354="",(P354+S354)/(I354-Q354),IF(AND(D354&lt;&gt;"",(P354+S354)/(I354-Q354)&gt;=50%),(P354+S354)/(I354-Q354),"")))</f>
        <v>0.6</v>
      </c>
      <c r="W354" s="26">
        <f>IF(I354=O354,"",IF(V354="",0,(P354+Q354+S354-O354)/(I354-O354)))</f>
        <v>0.6</v>
      </c>
      <c r="X354" s="30"/>
      <c r="Y354" s="30"/>
      <c r="Z354" s="30"/>
      <c r="AA354" s="30"/>
      <c r="AB354" s="34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</row>
    <row r="355" spans="1:41" s="39" customFormat="1" ht="22.5" customHeight="1">
      <c r="A355" s="32"/>
      <c r="B355" s="138" t="s">
        <v>110</v>
      </c>
      <c r="C355" s="105" t="s">
        <v>154</v>
      </c>
      <c r="D355" s="29"/>
      <c r="E355" s="16" t="s">
        <v>27</v>
      </c>
      <c r="F355" s="15"/>
      <c r="G355" s="15"/>
      <c r="H355" s="15"/>
      <c r="I355" s="17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8"/>
      <c r="X355" s="30"/>
      <c r="Y355" s="30"/>
      <c r="Z355" s="30"/>
      <c r="AA355" s="30"/>
      <c r="AB355" s="34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</row>
    <row r="356" spans="1:41" s="39" customFormat="1" ht="23.25" customHeight="1">
      <c r="A356" s="32">
        <v>16</v>
      </c>
      <c r="B356" s="140"/>
      <c r="C356" s="106" t="str">
        <f>IF(A356="","VARA",VLOOKUP(A356,'[1]varas'!$A$4:$B$67,2))</f>
        <v>16ª VT Recife</v>
      </c>
      <c r="D356" s="15"/>
      <c r="E356" s="16"/>
      <c r="F356" s="15">
        <v>0</v>
      </c>
      <c r="G356" s="15">
        <v>0</v>
      </c>
      <c r="H356" s="15">
        <v>1</v>
      </c>
      <c r="I356" s="17">
        <f>SUM(F356:H356)</f>
        <v>1</v>
      </c>
      <c r="J356" s="15">
        <v>1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f>SUM(J356:O356)</f>
        <v>1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8"/>
      <c r="W356" s="18"/>
      <c r="X356" s="30"/>
      <c r="Y356" s="30"/>
      <c r="Z356" s="30"/>
      <c r="AA356" s="30"/>
      <c r="AB356" s="34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</row>
    <row r="357" spans="1:41" s="39" customFormat="1" ht="23.25" customHeight="1">
      <c r="A357" s="32">
        <v>21</v>
      </c>
      <c r="B357" s="140"/>
      <c r="C357" s="106" t="str">
        <f>IF(A357="","VARA",VLOOKUP(A357,'[1]varas'!$A$4:$B$67,2))</f>
        <v>21ª VT Recife</v>
      </c>
      <c r="D357" s="15"/>
      <c r="E357" s="16"/>
      <c r="F357" s="15">
        <v>2</v>
      </c>
      <c r="G357" s="15">
        <v>0</v>
      </c>
      <c r="H357" s="15">
        <v>0</v>
      </c>
      <c r="I357" s="17">
        <f>SUM(F357:H357)</f>
        <v>2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2</v>
      </c>
      <c r="P357" s="15">
        <f>SUM(J357:O357)</f>
        <v>2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8"/>
      <c r="W357" s="18"/>
      <c r="X357" s="30"/>
      <c r="Y357" s="30"/>
      <c r="Z357" s="30"/>
      <c r="AA357" s="30"/>
      <c r="AB357" s="34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</row>
    <row r="358" spans="1:41" s="39" customFormat="1" ht="20.25" customHeight="1">
      <c r="A358" s="32">
        <v>22</v>
      </c>
      <c r="B358" s="140"/>
      <c r="C358" s="106" t="str">
        <f>IF(A358="","VARA",VLOOKUP(A358,'[1]varas'!$A$4:$B$67,2))</f>
        <v>22ª VT Recife</v>
      </c>
      <c r="D358" s="15"/>
      <c r="E358" s="16"/>
      <c r="F358" s="15">
        <f>35+41+13+7</f>
        <v>96</v>
      </c>
      <c r="G358" s="15">
        <v>6</v>
      </c>
      <c r="H358" s="15">
        <v>19</v>
      </c>
      <c r="I358" s="17">
        <f>SUM(F358:H358)</f>
        <v>121</v>
      </c>
      <c r="J358" s="15">
        <v>22</v>
      </c>
      <c r="K358" s="15">
        <v>12</v>
      </c>
      <c r="L358" s="15">
        <v>13</v>
      </c>
      <c r="M358" s="15">
        <v>5</v>
      </c>
      <c r="N358" s="15">
        <v>2</v>
      </c>
      <c r="O358" s="15">
        <v>41</v>
      </c>
      <c r="P358" s="15">
        <f>SUM(J358:O358)</f>
        <v>95</v>
      </c>
      <c r="Q358" s="15">
        <v>9</v>
      </c>
      <c r="R358" s="15">
        <v>17</v>
      </c>
      <c r="S358" s="15">
        <v>0</v>
      </c>
      <c r="T358" s="15">
        <v>0</v>
      </c>
      <c r="U358" s="15">
        <v>148</v>
      </c>
      <c r="V358" s="18"/>
      <c r="W358" s="18"/>
      <c r="X358" s="30"/>
      <c r="Y358" s="30"/>
      <c r="Z358" s="30"/>
      <c r="AA358" s="30"/>
      <c r="AB358" s="34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</row>
    <row r="359" spans="1:41" s="39" customFormat="1" ht="20.25" customHeight="1">
      <c r="A359" s="32">
        <v>61</v>
      </c>
      <c r="B359" s="139"/>
      <c r="C359" s="106" t="str">
        <f>IF(A359="","VARA",VLOOKUP(A359,'[1]varas'!$A$4:$B$67,2))</f>
        <v>VT Vitória</v>
      </c>
      <c r="D359" s="15"/>
      <c r="E359" s="16"/>
      <c r="F359" s="15">
        <v>0</v>
      </c>
      <c r="G359" s="15">
        <v>2</v>
      </c>
      <c r="H359" s="15">
        <v>0</v>
      </c>
      <c r="I359" s="17">
        <f>SUM(F359:H359)</f>
        <v>2</v>
      </c>
      <c r="J359" s="15">
        <v>2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f>SUM(J359:O359)</f>
        <v>2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8"/>
      <c r="W359" s="18"/>
      <c r="X359" s="30"/>
      <c r="Y359" s="30"/>
      <c r="Z359" s="30"/>
      <c r="AA359" s="30"/>
      <c r="AB359" s="34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</row>
    <row r="360" spans="1:41" s="53" customFormat="1" ht="19.5" customHeight="1">
      <c r="A360" s="47"/>
      <c r="B360" s="135"/>
      <c r="C360" s="106" t="s">
        <v>12</v>
      </c>
      <c r="D360" s="24"/>
      <c r="E360" s="48"/>
      <c r="F360" s="24">
        <f>SUM(F355:F359)</f>
        <v>98</v>
      </c>
      <c r="G360" s="24">
        <f>SUM(G355:G359)</f>
        <v>8</v>
      </c>
      <c r="H360" s="24">
        <f>SUM(H355:H359)</f>
        <v>20</v>
      </c>
      <c r="I360" s="40">
        <f>SUM(F360:H360)</f>
        <v>126</v>
      </c>
      <c r="J360" s="24">
        <f aca="true" t="shared" si="102" ref="J360:O360">SUM(J355:J359)</f>
        <v>25</v>
      </c>
      <c r="K360" s="24">
        <f t="shared" si="102"/>
        <v>12</v>
      </c>
      <c r="L360" s="24">
        <f t="shared" si="102"/>
        <v>13</v>
      </c>
      <c r="M360" s="24">
        <f t="shared" si="102"/>
        <v>5</v>
      </c>
      <c r="N360" s="24">
        <f t="shared" si="102"/>
        <v>2</v>
      </c>
      <c r="O360" s="24">
        <f t="shared" si="102"/>
        <v>43</v>
      </c>
      <c r="P360" s="24">
        <f>SUM(J360:O360)</f>
        <v>100</v>
      </c>
      <c r="Q360" s="24">
        <f>SUM(Q355:Q359)</f>
        <v>9</v>
      </c>
      <c r="R360" s="24">
        <f>SUM(R355:R359)</f>
        <v>17</v>
      </c>
      <c r="S360" s="24">
        <f>SUM(S355:S359)</f>
        <v>0</v>
      </c>
      <c r="T360" s="24">
        <f>SUM(T355:T359)</f>
        <v>0</v>
      </c>
      <c r="U360" s="24">
        <f>SUM(U355:U359)</f>
        <v>148</v>
      </c>
      <c r="V360" s="26">
        <f>IF(I360-Q360=0,"",IF(D360="",(P360+S360)/(I360-Q360),IF(AND(D360&lt;&gt;"",(P360+S360)/(I360-Q360)&gt;=50%),(P360+S360)/(I360-Q360),"")))</f>
        <v>0.8547008547008547</v>
      </c>
      <c r="W360" s="26">
        <f>IF(I360=O360,"",IF(V360="",0,(P360+Q360+S360-O360)/(I360-O360)))</f>
        <v>0.7951807228915663</v>
      </c>
      <c r="X360" s="49"/>
      <c r="Y360" s="49"/>
      <c r="Z360" s="49"/>
      <c r="AA360" s="49"/>
      <c r="AB360" s="50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</row>
    <row r="361" spans="1:41" s="39" customFormat="1" ht="21" customHeight="1">
      <c r="A361" s="32"/>
      <c r="B361" s="138" t="s">
        <v>111</v>
      </c>
      <c r="C361" s="105" t="s">
        <v>2</v>
      </c>
      <c r="D361" s="29"/>
      <c r="E361" s="16" t="s">
        <v>27</v>
      </c>
      <c r="F361" s="15"/>
      <c r="G361" s="15"/>
      <c r="H361" s="15"/>
      <c r="I361" s="17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8"/>
      <c r="X361" s="30"/>
      <c r="Y361" s="30"/>
      <c r="Z361" s="30"/>
      <c r="AA361" s="30"/>
      <c r="AB361" s="34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</row>
    <row r="362" spans="1:41" s="39" customFormat="1" ht="21" customHeight="1">
      <c r="A362" s="32">
        <v>15</v>
      </c>
      <c r="B362" s="140"/>
      <c r="C362" s="106" t="str">
        <f>IF(A362="","VARA",VLOOKUP(A362,'[1]varas'!$A$4:$B$67,2))</f>
        <v>15ª VT Recife</v>
      </c>
      <c r="D362" s="29"/>
      <c r="E362" s="16"/>
      <c r="F362" s="15">
        <v>7</v>
      </c>
      <c r="G362" s="15">
        <v>0</v>
      </c>
      <c r="H362" s="15">
        <v>0</v>
      </c>
      <c r="I362" s="17">
        <f>SUM(F362:H362)</f>
        <v>7</v>
      </c>
      <c r="J362" s="15">
        <v>3</v>
      </c>
      <c r="K362" s="15">
        <v>3</v>
      </c>
      <c r="L362" s="15">
        <v>0</v>
      </c>
      <c r="M362" s="15">
        <v>0</v>
      </c>
      <c r="N362" s="15">
        <v>0</v>
      </c>
      <c r="O362" s="15">
        <v>0</v>
      </c>
      <c r="P362" s="15">
        <f>SUM(J362:O362)</f>
        <v>6</v>
      </c>
      <c r="Q362" s="15">
        <v>0</v>
      </c>
      <c r="R362" s="15">
        <v>0</v>
      </c>
      <c r="S362" s="15">
        <v>1</v>
      </c>
      <c r="T362" s="15">
        <v>0</v>
      </c>
      <c r="U362" s="15">
        <v>11</v>
      </c>
      <c r="V362" s="18"/>
      <c r="W362" s="18"/>
      <c r="X362" s="30"/>
      <c r="Y362" s="30"/>
      <c r="Z362" s="30"/>
      <c r="AA362" s="30"/>
      <c r="AB362" s="34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</row>
    <row r="363" spans="1:41" s="39" customFormat="1" ht="17.25" customHeight="1">
      <c r="A363" s="32">
        <v>18</v>
      </c>
      <c r="B363" s="139"/>
      <c r="C363" s="106" t="str">
        <f>IF(A363="","VARA",VLOOKUP(A363,'[1]varas'!$A$4:$B$67,2))</f>
        <v>18ª VT Recife</v>
      </c>
      <c r="D363" s="29"/>
      <c r="E363" s="16"/>
      <c r="F363" s="15">
        <v>25</v>
      </c>
      <c r="G363" s="15">
        <v>0</v>
      </c>
      <c r="H363" s="15">
        <v>0</v>
      </c>
      <c r="I363" s="17">
        <f>SUM(F363:H363)</f>
        <v>25</v>
      </c>
      <c r="J363" s="15">
        <v>7</v>
      </c>
      <c r="K363" s="15">
        <v>7</v>
      </c>
      <c r="L363" s="15">
        <v>0</v>
      </c>
      <c r="M363" s="15">
        <v>0</v>
      </c>
      <c r="N363" s="15">
        <v>0</v>
      </c>
      <c r="O363" s="15">
        <v>11</v>
      </c>
      <c r="P363" s="15">
        <f>SUM(J363:O363)</f>
        <v>25</v>
      </c>
      <c r="Q363" s="15">
        <v>0</v>
      </c>
      <c r="R363" s="15">
        <v>0</v>
      </c>
      <c r="S363" s="15">
        <v>0</v>
      </c>
      <c r="T363" s="15">
        <v>0</v>
      </c>
      <c r="U363" s="15">
        <v>100</v>
      </c>
      <c r="V363" s="18"/>
      <c r="W363" s="18"/>
      <c r="X363" s="30"/>
      <c r="Y363" s="30"/>
      <c r="Z363" s="30"/>
      <c r="AA363" s="30"/>
      <c r="AB363" s="34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</row>
    <row r="364" spans="1:41" s="53" customFormat="1" ht="15" customHeight="1">
      <c r="A364" s="47"/>
      <c r="B364" s="135"/>
      <c r="C364" s="106" t="s">
        <v>12</v>
      </c>
      <c r="D364" s="24"/>
      <c r="E364" s="48"/>
      <c r="F364" s="24">
        <f>SUM(F361:F363)</f>
        <v>32</v>
      </c>
      <c r="G364" s="24">
        <f>SUM(G361:G363)</f>
        <v>0</v>
      </c>
      <c r="H364" s="24">
        <f>SUM(H361:H363)</f>
        <v>0</v>
      </c>
      <c r="I364" s="40">
        <f>SUM(F364:H364)</f>
        <v>32</v>
      </c>
      <c r="J364" s="24">
        <f aca="true" t="shared" si="103" ref="J364:O364">SUM(J361:J363)</f>
        <v>10</v>
      </c>
      <c r="K364" s="24">
        <f t="shared" si="103"/>
        <v>10</v>
      </c>
      <c r="L364" s="24">
        <f t="shared" si="103"/>
        <v>0</v>
      </c>
      <c r="M364" s="24">
        <f t="shared" si="103"/>
        <v>0</v>
      </c>
      <c r="N364" s="24">
        <f t="shared" si="103"/>
        <v>0</v>
      </c>
      <c r="O364" s="24">
        <f t="shared" si="103"/>
        <v>11</v>
      </c>
      <c r="P364" s="24">
        <f>SUM(J364:O364)</f>
        <v>31</v>
      </c>
      <c r="Q364" s="24">
        <f>SUM(Q361:Q363)</f>
        <v>0</v>
      </c>
      <c r="R364" s="24">
        <f>SUM(R361:R363)</f>
        <v>0</v>
      </c>
      <c r="S364" s="24">
        <f>SUM(S361:S363)</f>
        <v>1</v>
      </c>
      <c r="T364" s="24">
        <f>SUM(T361:T363)</f>
        <v>0</v>
      </c>
      <c r="U364" s="24">
        <f>SUM(U361:U363)</f>
        <v>111</v>
      </c>
      <c r="V364" s="26">
        <f>IF(I364-Q364=0,"",IF(D364="",(P364+S364)/(I364-Q364),IF(AND(D364&lt;&gt;"",(P364+S364)/(I364-Q364)&gt;=50%),(P364+S364)/(I364-Q364),"")))</f>
        <v>1</v>
      </c>
      <c r="W364" s="26">
        <f>IF(I364=O364,"",IF(V364="",0,(P364+Q364+S364-O364)/(I364-O364)))</f>
        <v>1</v>
      </c>
      <c r="X364" s="49"/>
      <c r="Y364" s="49"/>
      <c r="Z364" s="49"/>
      <c r="AA364" s="49"/>
      <c r="AB364" s="50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</row>
    <row r="365" spans="1:41" s="39" customFormat="1" ht="19.5" customHeight="1">
      <c r="A365" s="32"/>
      <c r="B365" s="138" t="s">
        <v>112</v>
      </c>
      <c r="C365" s="105" t="s">
        <v>156</v>
      </c>
      <c r="D365" s="29"/>
      <c r="E365" s="16" t="s">
        <v>27</v>
      </c>
      <c r="F365" s="15"/>
      <c r="G365" s="15"/>
      <c r="H365" s="15"/>
      <c r="I365" s="17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8"/>
      <c r="X365" s="30"/>
      <c r="Y365" s="30"/>
      <c r="Z365" s="30"/>
      <c r="AA365" s="30"/>
      <c r="AB365" s="34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</row>
    <row r="366" spans="1:41" s="39" customFormat="1" ht="19.5" customHeight="1">
      <c r="A366" s="32">
        <v>2</v>
      </c>
      <c r="B366" s="140"/>
      <c r="C366" s="106" t="str">
        <f>IF(A366="","VARA",VLOOKUP(A366,'[1]varas'!$A$4:$B$67,2))</f>
        <v>2ª VT Recife</v>
      </c>
      <c r="D366" s="29"/>
      <c r="E366" s="16"/>
      <c r="F366" s="15">
        <f>5+11+8</f>
        <v>24</v>
      </c>
      <c r="G366" s="15">
        <v>48</v>
      </c>
      <c r="H366" s="15">
        <v>6</v>
      </c>
      <c r="I366" s="17">
        <f>SUM(F366:H366)</f>
        <v>78</v>
      </c>
      <c r="J366" s="15">
        <v>41</v>
      </c>
      <c r="K366" s="15">
        <v>2</v>
      </c>
      <c r="L366" s="15">
        <v>7</v>
      </c>
      <c r="M366" s="15">
        <v>1</v>
      </c>
      <c r="N366" s="15">
        <v>0</v>
      </c>
      <c r="O366" s="15">
        <v>11</v>
      </c>
      <c r="P366" s="15">
        <f>SUM(J366:O366)</f>
        <v>62</v>
      </c>
      <c r="Q366" s="15">
        <v>14</v>
      </c>
      <c r="R366" s="15">
        <v>2</v>
      </c>
      <c r="S366" s="15">
        <v>0</v>
      </c>
      <c r="T366" s="15">
        <v>0</v>
      </c>
      <c r="U366" s="15">
        <v>49</v>
      </c>
      <c r="V366" s="18"/>
      <c r="W366" s="18"/>
      <c r="X366" s="30"/>
      <c r="Y366" s="30"/>
      <c r="Z366" s="30"/>
      <c r="AA366" s="30"/>
      <c r="AB366" s="34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</row>
    <row r="367" spans="1:41" s="53" customFormat="1" ht="18.75" customHeight="1">
      <c r="A367" s="47"/>
      <c r="B367" s="135"/>
      <c r="C367" s="106" t="s">
        <v>12</v>
      </c>
      <c r="D367" s="24"/>
      <c r="E367" s="48"/>
      <c r="F367" s="24">
        <f>SUM(F365:F366)</f>
        <v>24</v>
      </c>
      <c r="G367" s="24">
        <f>SUM(G365:G366)</f>
        <v>48</v>
      </c>
      <c r="H367" s="24">
        <f>SUM(H365:H366)</f>
        <v>6</v>
      </c>
      <c r="I367" s="40">
        <f>SUM(F367:H367)</f>
        <v>78</v>
      </c>
      <c r="J367" s="24">
        <f aca="true" t="shared" si="104" ref="J367:O367">SUM(J365:J366)</f>
        <v>41</v>
      </c>
      <c r="K367" s="24">
        <f t="shared" si="104"/>
        <v>2</v>
      </c>
      <c r="L367" s="24">
        <f t="shared" si="104"/>
        <v>7</v>
      </c>
      <c r="M367" s="24">
        <f t="shared" si="104"/>
        <v>1</v>
      </c>
      <c r="N367" s="24">
        <f t="shared" si="104"/>
        <v>0</v>
      </c>
      <c r="O367" s="24">
        <f t="shared" si="104"/>
        <v>11</v>
      </c>
      <c r="P367" s="24">
        <f>SUM(J367:O367)</f>
        <v>62</v>
      </c>
      <c r="Q367" s="24">
        <f>SUM(Q365:Q366)</f>
        <v>14</v>
      </c>
      <c r="R367" s="24">
        <f>SUM(R365:R366)</f>
        <v>2</v>
      </c>
      <c r="S367" s="24">
        <f>SUM(S365:S366)</f>
        <v>0</v>
      </c>
      <c r="T367" s="24">
        <f>SUM(T365:T366)</f>
        <v>0</v>
      </c>
      <c r="U367" s="24">
        <f>SUM(U365:U366)</f>
        <v>49</v>
      </c>
      <c r="V367" s="26">
        <f>IF(I367-Q367=0,"",IF(D367="",(P367+S367)/(I367-Q367),IF(AND(D367&lt;&gt;"",(P367+S367)/(I367-Q367)&gt;=50%),(P367+S367)/(I367-Q367),"")))</f>
        <v>0.96875</v>
      </c>
      <c r="W367" s="26">
        <f>IF(I367=O367,"",IF(V367="",0,(P367+Q367+S367-O367)/(I367-O367)))</f>
        <v>0.9701492537313433</v>
      </c>
      <c r="X367" s="49"/>
      <c r="Y367" s="49"/>
      <c r="Z367" s="49"/>
      <c r="AA367" s="49"/>
      <c r="AB367" s="50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</row>
    <row r="368" spans="1:41" s="39" customFormat="1" ht="20.25" customHeight="1">
      <c r="A368" s="32"/>
      <c r="B368" s="130" t="s">
        <v>113</v>
      </c>
      <c r="C368" s="14" t="s">
        <v>156</v>
      </c>
      <c r="D368" s="29" t="s">
        <v>30</v>
      </c>
      <c r="E368" s="16" t="s">
        <v>197</v>
      </c>
      <c r="F368" s="15"/>
      <c r="G368" s="15"/>
      <c r="H368" s="15"/>
      <c r="I368" s="17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8"/>
      <c r="X368" s="30"/>
      <c r="Y368" s="30"/>
      <c r="Z368" s="30"/>
      <c r="AA368" s="30"/>
      <c r="AB368" s="34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</row>
    <row r="369" spans="1:41" s="39" customFormat="1" ht="18" customHeight="1">
      <c r="A369" s="32">
        <v>56</v>
      </c>
      <c r="B369" s="137"/>
      <c r="C369" s="20" t="str">
        <f>IF(A369="","VARA",VLOOKUP(A369,'[1]varas'!$A$4:$B$67,2))</f>
        <v>1ª VT Ribeirão</v>
      </c>
      <c r="D369" s="15"/>
      <c r="E369" s="16"/>
      <c r="F369" s="15">
        <v>0</v>
      </c>
      <c r="G369" s="15">
        <v>7</v>
      </c>
      <c r="H369" s="15">
        <v>47</v>
      </c>
      <c r="I369" s="17">
        <f>SUM(F369:H369)</f>
        <v>54</v>
      </c>
      <c r="J369" s="15">
        <v>13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f>SUM(J369:O369)</f>
        <v>13</v>
      </c>
      <c r="Q369" s="15">
        <v>7</v>
      </c>
      <c r="R369" s="15">
        <v>34</v>
      </c>
      <c r="S369" s="15">
        <v>0</v>
      </c>
      <c r="T369" s="15">
        <v>0</v>
      </c>
      <c r="U369" s="15">
        <v>0</v>
      </c>
      <c r="V369" s="18"/>
      <c r="W369" s="18"/>
      <c r="X369" s="30"/>
      <c r="Y369" s="30"/>
      <c r="Z369" s="30"/>
      <c r="AA369" s="30"/>
      <c r="AB369" s="34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</row>
    <row r="370" spans="1:41" s="53" customFormat="1" ht="20.25" customHeight="1">
      <c r="A370" s="47"/>
      <c r="B370" s="152"/>
      <c r="C370" s="21" t="s">
        <v>12</v>
      </c>
      <c r="D370" s="51"/>
      <c r="E370" s="52"/>
      <c r="F370" s="24">
        <f>SUM(F368:F369)</f>
        <v>0</v>
      </c>
      <c r="G370" s="24">
        <f>SUM(G368:G369)</f>
        <v>7</v>
      </c>
      <c r="H370" s="24">
        <f>SUM(H368:H369)</f>
        <v>47</v>
      </c>
      <c r="I370" s="25">
        <f>SUM(F370:H370)</f>
        <v>54</v>
      </c>
      <c r="J370" s="24">
        <f aca="true" t="shared" si="105" ref="J370:O370">SUM(J368:J369)</f>
        <v>13</v>
      </c>
      <c r="K370" s="24">
        <f t="shared" si="105"/>
        <v>0</v>
      </c>
      <c r="L370" s="24">
        <f t="shared" si="105"/>
        <v>0</v>
      </c>
      <c r="M370" s="24">
        <f t="shared" si="105"/>
        <v>0</v>
      </c>
      <c r="N370" s="24">
        <f t="shared" si="105"/>
        <v>0</v>
      </c>
      <c r="O370" s="24">
        <f t="shared" si="105"/>
        <v>0</v>
      </c>
      <c r="P370" s="24">
        <f>SUM(J370:O370)</f>
        <v>13</v>
      </c>
      <c r="Q370" s="24">
        <f>SUM(Q368:Q369)</f>
        <v>7</v>
      </c>
      <c r="R370" s="24">
        <f>SUM(R368:R369)</f>
        <v>34</v>
      </c>
      <c r="S370" s="24">
        <f>SUM(S368:S369)</f>
        <v>0</v>
      </c>
      <c r="T370" s="24">
        <f>SUM(T368:T369)</f>
        <v>0</v>
      </c>
      <c r="U370" s="24">
        <f>SUM(U368:U369)</f>
        <v>0</v>
      </c>
      <c r="V370" s="26">
        <f>IF(I370-Q370=0,"",IF(D370="",(P370+S370)/(I370-Q370),IF(AND(D370&lt;&gt;"",(P370+S370)/(I370-Q370)&gt;=50%),(P370+S370)/(I370-Q370),"")))</f>
        <v>0.2765957446808511</v>
      </c>
      <c r="W370" s="26">
        <f>IF(I370=O370,"",IF(V370="",0,(P370+Q370+S370-O370)/(I370-O370)))</f>
        <v>0.37037037037037035</v>
      </c>
      <c r="X370" s="49"/>
      <c r="Y370" s="49"/>
      <c r="Z370" s="49"/>
      <c r="AA370" s="49"/>
      <c r="AB370" s="50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</row>
    <row r="371" spans="1:41" s="39" customFormat="1" ht="23.25" customHeight="1">
      <c r="A371" s="32"/>
      <c r="B371" s="138" t="s">
        <v>114</v>
      </c>
      <c r="C371" s="105" t="s">
        <v>2</v>
      </c>
      <c r="D371" s="29" t="s">
        <v>30</v>
      </c>
      <c r="E371" s="16" t="s">
        <v>197</v>
      </c>
      <c r="F371" s="15"/>
      <c r="G371" s="15"/>
      <c r="H371" s="15"/>
      <c r="I371" s="17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8"/>
      <c r="X371" s="30"/>
      <c r="Y371" s="30"/>
      <c r="Z371" s="30"/>
      <c r="AA371" s="30"/>
      <c r="AB371" s="34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</row>
    <row r="372" spans="1:41" s="39" customFormat="1" ht="19.5" customHeight="1">
      <c r="A372" s="32">
        <v>9</v>
      </c>
      <c r="B372" s="139"/>
      <c r="C372" s="106" t="str">
        <f>IF(A372="","VARA",VLOOKUP(A372,'[1]varas'!$A$4:$B$67,2))</f>
        <v>9ª VT Recife</v>
      </c>
      <c r="D372" s="15"/>
      <c r="E372" s="16"/>
      <c r="F372" s="15">
        <v>13</v>
      </c>
      <c r="G372" s="15">
        <v>9</v>
      </c>
      <c r="H372" s="15">
        <v>3</v>
      </c>
      <c r="I372" s="17">
        <f>SUM(F372:H372)</f>
        <v>25</v>
      </c>
      <c r="J372" s="15">
        <v>13</v>
      </c>
      <c r="K372" s="15">
        <v>0</v>
      </c>
      <c r="L372" s="15">
        <v>0</v>
      </c>
      <c r="M372" s="15">
        <v>3</v>
      </c>
      <c r="N372" s="15">
        <v>0</v>
      </c>
      <c r="O372" s="15">
        <v>0</v>
      </c>
      <c r="P372" s="15">
        <f>SUM(J372:O372)</f>
        <v>16</v>
      </c>
      <c r="Q372" s="15">
        <v>9</v>
      </c>
      <c r="R372" s="15">
        <v>0</v>
      </c>
      <c r="S372" s="15">
        <v>0</v>
      </c>
      <c r="T372" s="15">
        <v>0</v>
      </c>
      <c r="U372" s="15">
        <v>0</v>
      </c>
      <c r="V372" s="18"/>
      <c r="W372" s="18"/>
      <c r="X372" s="30"/>
      <c r="Y372" s="30"/>
      <c r="Z372" s="30"/>
      <c r="AA372" s="30"/>
      <c r="AB372" s="34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</row>
    <row r="373" spans="1:41" s="53" customFormat="1" ht="22.5" customHeight="1">
      <c r="A373" s="47"/>
      <c r="B373" s="135"/>
      <c r="C373" s="107" t="s">
        <v>12</v>
      </c>
      <c r="D373" s="51"/>
      <c r="E373" s="52"/>
      <c r="F373" s="24">
        <f>SUM(F371:F372)</f>
        <v>13</v>
      </c>
      <c r="G373" s="24">
        <f>SUM(G371:G372)</f>
        <v>9</v>
      </c>
      <c r="H373" s="24">
        <f>SUM(H371:H372)</f>
        <v>3</v>
      </c>
      <c r="I373" s="25">
        <f>SUM(F373:H373)</f>
        <v>25</v>
      </c>
      <c r="J373" s="24">
        <f aca="true" t="shared" si="106" ref="J373:O373">SUM(J371:J372)</f>
        <v>13</v>
      </c>
      <c r="K373" s="24">
        <f t="shared" si="106"/>
        <v>0</v>
      </c>
      <c r="L373" s="24">
        <f t="shared" si="106"/>
        <v>0</v>
      </c>
      <c r="M373" s="24">
        <f t="shared" si="106"/>
        <v>3</v>
      </c>
      <c r="N373" s="24">
        <f t="shared" si="106"/>
        <v>0</v>
      </c>
      <c r="O373" s="24">
        <f t="shared" si="106"/>
        <v>0</v>
      </c>
      <c r="P373" s="24">
        <f>SUM(J373:O373)</f>
        <v>16</v>
      </c>
      <c r="Q373" s="24">
        <f>SUM(Q371:Q372)</f>
        <v>9</v>
      </c>
      <c r="R373" s="24">
        <f>SUM(R371:R372)</f>
        <v>0</v>
      </c>
      <c r="S373" s="24">
        <f>SUM(S371:S372)</f>
        <v>0</v>
      </c>
      <c r="T373" s="24">
        <f>SUM(T371:T372)</f>
        <v>0</v>
      </c>
      <c r="U373" s="24">
        <f>SUM(U371:U372)</f>
        <v>0</v>
      </c>
      <c r="V373" s="26">
        <f>IF(I373-Q373=0,"",IF(D373="",(P373+S373)/(I373-Q373),IF(AND(D373&lt;&gt;"",(P373+S373)/(I373-Q373)&gt;=50%),(P373+S373)/(I373-Q373),"")))</f>
        <v>1</v>
      </c>
      <c r="W373" s="26">
        <f>IF(I373=O373,"",IF(V373="",0,(P373+Q373+S373-O373)/(I373-O373)))</f>
        <v>1</v>
      </c>
      <c r="X373" s="49"/>
      <c r="Y373" s="49"/>
      <c r="Z373" s="49"/>
      <c r="AA373" s="49"/>
      <c r="AB373" s="50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</row>
    <row r="374" spans="1:41" s="39" customFormat="1" ht="24" customHeight="1">
      <c r="A374" s="32"/>
      <c r="B374" s="138" t="s">
        <v>115</v>
      </c>
      <c r="C374" s="105" t="s">
        <v>156</v>
      </c>
      <c r="D374" s="29"/>
      <c r="E374" s="16" t="s">
        <v>27</v>
      </c>
      <c r="F374" s="15"/>
      <c r="G374" s="15"/>
      <c r="H374" s="15"/>
      <c r="I374" s="17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8"/>
      <c r="X374" s="30"/>
      <c r="Y374" s="30"/>
      <c r="Z374" s="30"/>
      <c r="AA374" s="30"/>
      <c r="AB374" s="34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</row>
    <row r="375" spans="1:41" s="39" customFormat="1" ht="23.25" customHeight="1">
      <c r="A375" s="32">
        <v>14</v>
      </c>
      <c r="B375" s="139"/>
      <c r="C375" s="106" t="str">
        <f>IF(A375="","VARA",VLOOKUP(A375,'[1]varas'!$A$4:$B$67,2))</f>
        <v>14ª VT Recife</v>
      </c>
      <c r="D375" s="15"/>
      <c r="E375" s="16"/>
      <c r="F375" s="15">
        <f>29+12+10</f>
        <v>51</v>
      </c>
      <c r="G375" s="15">
        <v>0</v>
      </c>
      <c r="H375" s="15">
        <v>0</v>
      </c>
      <c r="I375" s="17">
        <f>SUM(F375:H375)</f>
        <v>51</v>
      </c>
      <c r="J375" s="15">
        <v>6</v>
      </c>
      <c r="K375" s="15">
        <v>4</v>
      </c>
      <c r="L375" s="15">
        <v>4</v>
      </c>
      <c r="M375" s="15">
        <v>6</v>
      </c>
      <c r="N375" s="15">
        <v>0</v>
      </c>
      <c r="O375" s="15">
        <v>12</v>
      </c>
      <c r="P375" s="15">
        <f>SUM(J375:O375)</f>
        <v>32</v>
      </c>
      <c r="Q375" s="15">
        <v>19</v>
      </c>
      <c r="R375" s="15">
        <v>0</v>
      </c>
      <c r="S375" s="15">
        <v>0</v>
      </c>
      <c r="T375" s="15">
        <v>0</v>
      </c>
      <c r="U375" s="15">
        <v>98</v>
      </c>
      <c r="V375" s="18"/>
      <c r="W375" s="18"/>
      <c r="X375" s="30"/>
      <c r="Y375" s="30"/>
      <c r="Z375" s="30"/>
      <c r="AA375" s="30"/>
      <c r="AB375" s="34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</row>
    <row r="376" spans="1:41" s="53" customFormat="1" ht="21" customHeight="1">
      <c r="A376" s="47"/>
      <c r="B376" s="135"/>
      <c r="C376" s="107" t="s">
        <v>12</v>
      </c>
      <c r="D376" s="51"/>
      <c r="E376" s="52"/>
      <c r="F376" s="24">
        <f>SUM(F374:F375)</f>
        <v>51</v>
      </c>
      <c r="G376" s="24">
        <f>SUM(G374:G375)</f>
        <v>0</v>
      </c>
      <c r="H376" s="24">
        <f>SUM(H374:H375)</f>
        <v>0</v>
      </c>
      <c r="I376" s="25">
        <f>SUM(F376:H376)</f>
        <v>51</v>
      </c>
      <c r="J376" s="24">
        <f aca="true" t="shared" si="107" ref="J376:O376">SUM(J374:J375)</f>
        <v>6</v>
      </c>
      <c r="K376" s="24">
        <f t="shared" si="107"/>
        <v>4</v>
      </c>
      <c r="L376" s="24">
        <f t="shared" si="107"/>
        <v>4</v>
      </c>
      <c r="M376" s="24">
        <f t="shared" si="107"/>
        <v>6</v>
      </c>
      <c r="N376" s="24">
        <f t="shared" si="107"/>
        <v>0</v>
      </c>
      <c r="O376" s="24">
        <f t="shared" si="107"/>
        <v>12</v>
      </c>
      <c r="P376" s="24">
        <f>SUM(J376:O376)</f>
        <v>32</v>
      </c>
      <c r="Q376" s="24">
        <f>SUM(Q374:Q375)</f>
        <v>19</v>
      </c>
      <c r="R376" s="24">
        <f>SUM(R374:R375)</f>
        <v>0</v>
      </c>
      <c r="S376" s="24">
        <f>SUM(S374:S375)</f>
        <v>0</v>
      </c>
      <c r="T376" s="24">
        <f>SUM(T374:T375)</f>
        <v>0</v>
      </c>
      <c r="U376" s="24">
        <f>SUM(U374:U375)</f>
        <v>98</v>
      </c>
      <c r="V376" s="26">
        <f>IF(I376-Q376=0,"",IF(D376="",(P376+S376)/(I376-Q376),IF(AND(D376&lt;&gt;"",(P376+S376)/(I376-Q376)&gt;=50%),(P376+S376)/(I376-Q376),"")))</f>
        <v>1</v>
      </c>
      <c r="W376" s="26">
        <f>IF(I376=O376,"",IF(V376="",0,(P376+Q376+S376-O376)/(I376-O376)))</f>
        <v>1</v>
      </c>
      <c r="X376" s="49"/>
      <c r="Y376" s="49"/>
      <c r="Z376" s="49"/>
      <c r="AA376" s="49"/>
      <c r="AB376" s="50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</row>
    <row r="377" spans="1:41" s="39" customFormat="1" ht="24.75" customHeight="1">
      <c r="A377" s="32"/>
      <c r="B377" s="130" t="s">
        <v>116</v>
      </c>
      <c r="C377" s="14" t="s">
        <v>154</v>
      </c>
      <c r="D377" s="29" t="s">
        <v>227</v>
      </c>
      <c r="E377" s="16" t="s">
        <v>228</v>
      </c>
      <c r="F377" s="15"/>
      <c r="G377" s="15"/>
      <c r="H377" s="15"/>
      <c r="I377" s="17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8"/>
      <c r="X377" s="30"/>
      <c r="Y377" s="30"/>
      <c r="Z377" s="30"/>
      <c r="AA377" s="30"/>
      <c r="AB377" s="34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</row>
    <row r="378" spans="1:41" s="39" customFormat="1" ht="21.75" customHeight="1">
      <c r="A378" s="32">
        <v>8</v>
      </c>
      <c r="B378" s="137"/>
      <c r="C378" s="20" t="str">
        <f>IF(A378="","VARA",VLOOKUP(A378,'[1]varas'!$A$4:$B$67,2))</f>
        <v>8ª VT Recife</v>
      </c>
      <c r="D378" s="15"/>
      <c r="E378" s="16"/>
      <c r="F378" s="15">
        <v>0</v>
      </c>
      <c r="G378" s="15">
        <v>0</v>
      </c>
      <c r="H378" s="15">
        <v>22</v>
      </c>
      <c r="I378" s="17">
        <f aca="true" t="shared" si="108" ref="I378:I385">SUM(F378:H378)</f>
        <v>22</v>
      </c>
      <c r="J378" s="15">
        <v>22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f aca="true" t="shared" si="109" ref="P378:P385">SUM(J378:O378)</f>
        <v>22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8"/>
      <c r="W378" s="18"/>
      <c r="X378" s="30"/>
      <c r="Y378" s="30"/>
      <c r="Z378" s="30"/>
      <c r="AA378" s="30"/>
      <c r="AB378" s="34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</row>
    <row r="379" spans="1:41" s="39" customFormat="1" ht="21.75" customHeight="1">
      <c r="A379" s="32">
        <v>10</v>
      </c>
      <c r="B379" s="137"/>
      <c r="C379" s="20" t="str">
        <f>IF(A379="","VARA",VLOOKUP(A379,'[1]varas'!$A$4:$B$67,2))</f>
        <v>10ª VT Recife</v>
      </c>
      <c r="D379" s="15"/>
      <c r="E379" s="16"/>
      <c r="F379" s="15">
        <v>0</v>
      </c>
      <c r="G379" s="15">
        <v>0</v>
      </c>
      <c r="H379" s="15">
        <v>1</v>
      </c>
      <c r="I379" s="17">
        <f t="shared" si="108"/>
        <v>1</v>
      </c>
      <c r="J379" s="15">
        <v>1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f t="shared" si="109"/>
        <v>1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8"/>
      <c r="W379" s="18"/>
      <c r="X379" s="30"/>
      <c r="Y379" s="30"/>
      <c r="Z379" s="30"/>
      <c r="AA379" s="30"/>
      <c r="AB379" s="34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</row>
    <row r="380" spans="1:41" s="39" customFormat="1" ht="24.75" customHeight="1">
      <c r="A380" s="32">
        <v>16</v>
      </c>
      <c r="B380" s="137"/>
      <c r="C380" s="20" t="str">
        <f>IF(A380="","VARA",VLOOKUP(A380,'[1]varas'!$A$4:$B$67,2))</f>
        <v>16ª VT Recife</v>
      </c>
      <c r="D380" s="15"/>
      <c r="E380" s="16"/>
      <c r="F380" s="15">
        <v>0</v>
      </c>
      <c r="G380" s="15">
        <v>0</v>
      </c>
      <c r="H380" s="15">
        <v>6</v>
      </c>
      <c r="I380" s="17">
        <f t="shared" si="108"/>
        <v>6</v>
      </c>
      <c r="J380" s="15">
        <v>6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f t="shared" si="109"/>
        <v>6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8"/>
      <c r="W380" s="18"/>
      <c r="X380" s="30"/>
      <c r="Y380" s="30"/>
      <c r="Z380" s="30"/>
      <c r="AA380" s="30"/>
      <c r="AB380" s="34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</row>
    <row r="381" spans="1:41" s="39" customFormat="1" ht="24.75" customHeight="1">
      <c r="A381" s="32">
        <v>17</v>
      </c>
      <c r="B381" s="137"/>
      <c r="C381" s="20" t="str">
        <f>IF(A381="","VARA",VLOOKUP(A381,'[1]varas'!$A$4:$B$67,2))</f>
        <v>17ª VT Recife</v>
      </c>
      <c r="D381" s="15"/>
      <c r="E381" s="16"/>
      <c r="F381" s="15">
        <v>13</v>
      </c>
      <c r="G381" s="15">
        <v>0</v>
      </c>
      <c r="H381" s="15">
        <v>0</v>
      </c>
      <c r="I381" s="17">
        <f>SUM(F381:H381)</f>
        <v>13</v>
      </c>
      <c r="J381" s="15">
        <v>0</v>
      </c>
      <c r="K381" s="15">
        <v>1</v>
      </c>
      <c r="L381" s="15">
        <v>0</v>
      </c>
      <c r="M381" s="15">
        <v>0</v>
      </c>
      <c r="N381" s="15">
        <v>0</v>
      </c>
      <c r="O381" s="15">
        <v>4</v>
      </c>
      <c r="P381" s="15">
        <f>SUM(J381:O381)</f>
        <v>5</v>
      </c>
      <c r="Q381" s="15">
        <v>8</v>
      </c>
      <c r="R381" s="15">
        <v>0</v>
      </c>
      <c r="S381" s="15">
        <v>0</v>
      </c>
      <c r="T381" s="15">
        <v>0</v>
      </c>
      <c r="U381" s="15">
        <v>27</v>
      </c>
      <c r="V381" s="18"/>
      <c r="W381" s="18"/>
      <c r="X381" s="30"/>
      <c r="Y381" s="30"/>
      <c r="Z381" s="30"/>
      <c r="AA381" s="30"/>
      <c r="AB381" s="34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</row>
    <row r="382" spans="1:41" s="39" customFormat="1" ht="17.25" customHeight="1">
      <c r="A382" s="32">
        <v>27</v>
      </c>
      <c r="B382" s="137"/>
      <c r="C382" s="20" t="str">
        <f>IF(A382="","VARA",VLOOKUP(A382,'[1]varas'!$A$4:$B$67,2))</f>
        <v>2ª VT Cabo</v>
      </c>
      <c r="D382" s="15"/>
      <c r="E382" s="16"/>
      <c r="F382" s="15">
        <v>4</v>
      </c>
      <c r="G382" s="15">
        <v>0</v>
      </c>
      <c r="H382" s="15">
        <v>0</v>
      </c>
      <c r="I382" s="17">
        <f>SUM(F382:H382)</f>
        <v>4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3</v>
      </c>
      <c r="P382" s="15">
        <f>SUM(J382:O382)</f>
        <v>3</v>
      </c>
      <c r="Q382" s="15">
        <v>1</v>
      </c>
      <c r="R382" s="15">
        <v>0</v>
      </c>
      <c r="S382" s="15">
        <v>0</v>
      </c>
      <c r="T382" s="15">
        <v>0</v>
      </c>
      <c r="U382" s="15">
        <v>12</v>
      </c>
      <c r="V382" s="18"/>
      <c r="W382" s="18"/>
      <c r="X382" s="30"/>
      <c r="Y382" s="30"/>
      <c r="Z382" s="30"/>
      <c r="AA382" s="30"/>
      <c r="AB382" s="34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</row>
    <row r="383" spans="1:41" s="39" customFormat="1" ht="24.75" customHeight="1">
      <c r="A383" s="32">
        <v>35</v>
      </c>
      <c r="B383" s="137"/>
      <c r="C383" s="20" t="str">
        <f>IF(A383="","VARA",VLOOKUP(A383,'[1]varas'!$A$4:$B$67,2))</f>
        <v>2ª VT Jaboatão</v>
      </c>
      <c r="D383" s="15"/>
      <c r="E383" s="16"/>
      <c r="F383" s="15">
        <v>2</v>
      </c>
      <c r="G383" s="15">
        <v>0</v>
      </c>
      <c r="H383" s="15">
        <v>0</v>
      </c>
      <c r="I383" s="17">
        <f t="shared" si="108"/>
        <v>2</v>
      </c>
      <c r="J383" s="15">
        <v>0</v>
      </c>
      <c r="K383" s="15">
        <v>0</v>
      </c>
      <c r="L383" s="15">
        <v>2</v>
      </c>
      <c r="M383" s="15">
        <v>0</v>
      </c>
      <c r="N383" s="15">
        <v>0</v>
      </c>
      <c r="O383" s="15">
        <v>0</v>
      </c>
      <c r="P383" s="15">
        <f t="shared" si="109"/>
        <v>2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8"/>
      <c r="W383" s="18"/>
      <c r="X383" s="30"/>
      <c r="Y383" s="30"/>
      <c r="Z383" s="30"/>
      <c r="AA383" s="30"/>
      <c r="AB383" s="34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</row>
    <row r="384" spans="1:41" s="39" customFormat="1" ht="21" customHeight="1">
      <c r="A384" s="32">
        <v>66</v>
      </c>
      <c r="B384" s="137"/>
      <c r="C384" s="20" t="s">
        <v>161</v>
      </c>
      <c r="D384" s="15"/>
      <c r="E384" s="16"/>
      <c r="F384" s="15">
        <v>0</v>
      </c>
      <c r="G384" s="15">
        <v>0</v>
      </c>
      <c r="H384" s="15">
        <v>1</v>
      </c>
      <c r="I384" s="17">
        <f t="shared" si="108"/>
        <v>1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f t="shared" si="109"/>
        <v>0</v>
      </c>
      <c r="Q384" s="15">
        <v>0</v>
      </c>
      <c r="R384" s="15">
        <v>1</v>
      </c>
      <c r="S384" s="15">
        <v>0</v>
      </c>
      <c r="T384" s="15">
        <v>0</v>
      </c>
      <c r="U384" s="15">
        <v>0</v>
      </c>
      <c r="V384" s="18"/>
      <c r="W384" s="18"/>
      <c r="X384" s="30"/>
      <c r="Y384" s="30"/>
      <c r="Z384" s="30"/>
      <c r="AA384" s="30"/>
      <c r="AB384" s="34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</row>
    <row r="385" spans="1:41" s="53" customFormat="1" ht="21.75" customHeight="1">
      <c r="A385" s="47"/>
      <c r="B385" s="131"/>
      <c r="C385" s="20" t="s">
        <v>12</v>
      </c>
      <c r="D385" s="24"/>
      <c r="E385" s="48"/>
      <c r="F385" s="24">
        <f>SUM(F377:F384)</f>
        <v>19</v>
      </c>
      <c r="G385" s="24">
        <f>SUM(G377:G384)</f>
        <v>0</v>
      </c>
      <c r="H385" s="24">
        <f>SUM(H377:H384)</f>
        <v>30</v>
      </c>
      <c r="I385" s="40">
        <f t="shared" si="108"/>
        <v>49</v>
      </c>
      <c r="J385" s="24">
        <f aca="true" t="shared" si="110" ref="J385:O385">SUM(J377:J384)</f>
        <v>29</v>
      </c>
      <c r="K385" s="24">
        <f t="shared" si="110"/>
        <v>1</v>
      </c>
      <c r="L385" s="24">
        <f t="shared" si="110"/>
        <v>2</v>
      </c>
      <c r="M385" s="24">
        <f t="shared" si="110"/>
        <v>0</v>
      </c>
      <c r="N385" s="24">
        <f t="shared" si="110"/>
        <v>0</v>
      </c>
      <c r="O385" s="24">
        <f t="shared" si="110"/>
        <v>7</v>
      </c>
      <c r="P385" s="24">
        <f t="shared" si="109"/>
        <v>39</v>
      </c>
      <c r="Q385" s="24">
        <f>SUM(Q377:Q384)</f>
        <v>9</v>
      </c>
      <c r="R385" s="24">
        <f>SUM(R377:R384)</f>
        <v>1</v>
      </c>
      <c r="S385" s="24">
        <f>SUM(S377:S384)</f>
        <v>0</v>
      </c>
      <c r="T385" s="24">
        <f>SUM(T377:T384)</f>
        <v>0</v>
      </c>
      <c r="U385" s="24">
        <f>SUM(U377:U384)</f>
        <v>39</v>
      </c>
      <c r="V385" s="26">
        <f>IF(I385-Q385=0,"",IF(D385="",(P385+S385)/(I385-Q385),IF(AND(D385&lt;&gt;"",(P385+S385)/(I385-Q385)&gt;=50%),(P385+S385)/(I385-Q385),"")))</f>
        <v>0.975</v>
      </c>
      <c r="W385" s="26">
        <f>IF(I385=O385,"",IF(V385="",0,(P385+Q385+S385-O385)/(I385-O385)))</f>
        <v>0.9761904761904762</v>
      </c>
      <c r="X385" s="49"/>
      <c r="Y385" s="49"/>
      <c r="Z385" s="49"/>
      <c r="AA385" s="49"/>
      <c r="AB385" s="50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</row>
    <row r="386" spans="1:41" s="39" customFormat="1" ht="24.75" customHeight="1">
      <c r="A386" s="32"/>
      <c r="B386" s="138" t="s">
        <v>117</v>
      </c>
      <c r="C386" s="105" t="s">
        <v>2</v>
      </c>
      <c r="D386" s="29"/>
      <c r="E386" s="16" t="s">
        <v>27</v>
      </c>
      <c r="F386" s="15"/>
      <c r="G386" s="15"/>
      <c r="H386" s="15"/>
      <c r="I386" s="17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8"/>
      <c r="X386" s="30"/>
      <c r="Y386" s="30"/>
      <c r="Z386" s="30"/>
      <c r="AA386" s="30"/>
      <c r="AB386" s="34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</row>
    <row r="387" spans="1:41" s="39" customFormat="1" ht="20.25" customHeight="1">
      <c r="A387" s="32">
        <v>40</v>
      </c>
      <c r="B387" s="139"/>
      <c r="C387" s="106" t="str">
        <f>IF(A387="","VARA",VLOOKUP(A387,'[1]varas'!$A$4:$B$67,2))</f>
        <v>3ª VT Olinda</v>
      </c>
      <c r="D387" s="15"/>
      <c r="E387" s="16"/>
      <c r="F387" s="15">
        <f>10+29+12</f>
        <v>51</v>
      </c>
      <c r="G387" s="15">
        <v>0</v>
      </c>
      <c r="H387" s="15">
        <v>0</v>
      </c>
      <c r="I387" s="17">
        <f>SUM(F387:H387)</f>
        <v>51</v>
      </c>
      <c r="J387" s="15">
        <v>8</v>
      </c>
      <c r="K387" s="15">
        <v>2</v>
      </c>
      <c r="L387" s="15">
        <v>29</v>
      </c>
      <c r="M387" s="15">
        <v>12</v>
      </c>
      <c r="N387" s="15">
        <v>0</v>
      </c>
      <c r="O387" s="15">
        <v>0</v>
      </c>
      <c r="P387" s="15">
        <f>SUM(J387:O387)</f>
        <v>51</v>
      </c>
      <c r="Q387" s="15">
        <v>0</v>
      </c>
      <c r="R387" s="15">
        <v>0</v>
      </c>
      <c r="S387" s="15">
        <v>0</v>
      </c>
      <c r="T387" s="15">
        <v>0</v>
      </c>
      <c r="U387" s="15">
        <v>52</v>
      </c>
      <c r="V387" s="18"/>
      <c r="W387" s="18"/>
      <c r="X387" s="30"/>
      <c r="Y387" s="30"/>
      <c r="Z387" s="30"/>
      <c r="AA387" s="30"/>
      <c r="AB387" s="34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</row>
    <row r="388" spans="1:41" s="53" customFormat="1" ht="17.25" customHeight="1">
      <c r="A388" s="47"/>
      <c r="B388" s="135"/>
      <c r="C388" s="107" t="s">
        <v>12</v>
      </c>
      <c r="D388" s="51"/>
      <c r="E388" s="52"/>
      <c r="F388" s="24">
        <f>SUM(F386:F387)</f>
        <v>51</v>
      </c>
      <c r="G388" s="24">
        <f>SUM(G386:G387)</f>
        <v>0</v>
      </c>
      <c r="H388" s="24">
        <f>SUM(H386:H387)</f>
        <v>0</v>
      </c>
      <c r="I388" s="25">
        <f>SUM(F388:H388)</f>
        <v>51</v>
      </c>
      <c r="J388" s="24">
        <f aca="true" t="shared" si="111" ref="J388:O388">SUM(J386:J387)</f>
        <v>8</v>
      </c>
      <c r="K388" s="24">
        <f t="shared" si="111"/>
        <v>2</v>
      </c>
      <c r="L388" s="24">
        <f t="shared" si="111"/>
        <v>29</v>
      </c>
      <c r="M388" s="24">
        <f t="shared" si="111"/>
        <v>12</v>
      </c>
      <c r="N388" s="24">
        <f t="shared" si="111"/>
        <v>0</v>
      </c>
      <c r="O388" s="24">
        <f t="shared" si="111"/>
        <v>0</v>
      </c>
      <c r="P388" s="24">
        <f>SUM(J388:O388)</f>
        <v>51</v>
      </c>
      <c r="Q388" s="24">
        <f>SUM(Q386:Q387)</f>
        <v>0</v>
      </c>
      <c r="R388" s="24">
        <f>SUM(R386:R387)</f>
        <v>0</v>
      </c>
      <c r="S388" s="24">
        <f>SUM(S386:S387)</f>
        <v>0</v>
      </c>
      <c r="T388" s="24">
        <f>SUM(T386:T387)</f>
        <v>0</v>
      </c>
      <c r="U388" s="24">
        <f>SUM(U386:U387)</f>
        <v>52</v>
      </c>
      <c r="V388" s="26">
        <f>IF(I388-Q388=0,"",IF(D388="",(P388+S388)/(I388-Q388),IF(AND(D388&lt;&gt;"",(P388+S388)/(I388-Q388)&gt;=50%),(P388+S388)/(I388-Q388),"")))</f>
        <v>1</v>
      </c>
      <c r="W388" s="26">
        <f>IF(I388=O388,"",IF(V388="",0,(P388+Q388+S388-O388)/(I388-O388)))</f>
        <v>1</v>
      </c>
      <c r="X388" s="49"/>
      <c r="Y388" s="49"/>
      <c r="Z388" s="49"/>
      <c r="AA388" s="49"/>
      <c r="AB388" s="50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</row>
    <row r="389" spans="1:41" s="39" customFormat="1" ht="26.25" customHeight="1">
      <c r="A389" s="32"/>
      <c r="B389" s="138" t="s">
        <v>118</v>
      </c>
      <c r="C389" s="105" t="s">
        <v>2</v>
      </c>
      <c r="D389" s="15"/>
      <c r="E389" s="16" t="s">
        <v>27</v>
      </c>
      <c r="F389" s="15"/>
      <c r="G389" s="15"/>
      <c r="H389" s="15"/>
      <c r="I389" s="17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8"/>
      <c r="X389" s="30"/>
      <c r="Y389" s="30"/>
      <c r="Z389" s="30"/>
      <c r="AA389" s="30"/>
      <c r="AB389" s="34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</row>
    <row r="390" spans="1:41" s="39" customFormat="1" ht="18.75" customHeight="1">
      <c r="A390" s="32">
        <v>53</v>
      </c>
      <c r="B390" s="139"/>
      <c r="C390" s="106" t="str">
        <f>IF(A390="","VARA",VLOOKUP(A390,'[1]varas'!$A$4:$B$67,2))</f>
        <v>VT Nazaré</v>
      </c>
      <c r="D390" s="15"/>
      <c r="E390" s="16"/>
      <c r="F390" s="15">
        <f>27+68+6</f>
        <v>101</v>
      </c>
      <c r="G390" s="15">
        <v>19</v>
      </c>
      <c r="H390" s="15">
        <v>65</v>
      </c>
      <c r="I390" s="17">
        <f>SUM(F390:H390)</f>
        <v>185</v>
      </c>
      <c r="J390" s="15">
        <v>13</v>
      </c>
      <c r="K390" s="15">
        <v>6</v>
      </c>
      <c r="L390" s="15">
        <v>0</v>
      </c>
      <c r="M390" s="15">
        <v>1</v>
      </c>
      <c r="N390" s="15">
        <v>4</v>
      </c>
      <c r="O390" s="15">
        <v>68</v>
      </c>
      <c r="P390" s="15">
        <f>SUM(J390:O390)</f>
        <v>92</v>
      </c>
      <c r="Q390" s="15">
        <v>12</v>
      </c>
      <c r="R390" s="15">
        <v>62</v>
      </c>
      <c r="S390" s="15">
        <v>0</v>
      </c>
      <c r="T390" s="15">
        <v>19</v>
      </c>
      <c r="U390" s="15">
        <v>156</v>
      </c>
      <c r="V390" s="18"/>
      <c r="W390" s="18"/>
      <c r="X390" s="30"/>
      <c r="Y390" s="30"/>
      <c r="Z390" s="30"/>
      <c r="AA390" s="30"/>
      <c r="AB390" s="34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</row>
    <row r="391" spans="1:41" s="53" customFormat="1" ht="20.25" customHeight="1">
      <c r="A391" s="47"/>
      <c r="B391" s="135"/>
      <c r="C391" s="107" t="s">
        <v>12</v>
      </c>
      <c r="D391" s="51"/>
      <c r="E391" s="52"/>
      <c r="F391" s="24">
        <f>SUM(F389:F390)</f>
        <v>101</v>
      </c>
      <c r="G391" s="24">
        <f>SUM(G389:G390)</f>
        <v>19</v>
      </c>
      <c r="H391" s="24">
        <f>SUM(H389:H390)</f>
        <v>65</v>
      </c>
      <c r="I391" s="25">
        <f>SUM(F391:H391)</f>
        <v>185</v>
      </c>
      <c r="J391" s="24">
        <f aca="true" t="shared" si="112" ref="J391:O391">SUM(J389:J390)</f>
        <v>13</v>
      </c>
      <c r="K391" s="24">
        <f t="shared" si="112"/>
        <v>6</v>
      </c>
      <c r="L391" s="24">
        <f t="shared" si="112"/>
        <v>0</v>
      </c>
      <c r="M391" s="24">
        <f t="shared" si="112"/>
        <v>1</v>
      </c>
      <c r="N391" s="24">
        <f t="shared" si="112"/>
        <v>4</v>
      </c>
      <c r="O391" s="24">
        <f t="shared" si="112"/>
        <v>68</v>
      </c>
      <c r="P391" s="24">
        <f>SUM(J391:O391)</f>
        <v>92</v>
      </c>
      <c r="Q391" s="24">
        <f>SUM(Q389:Q390)</f>
        <v>12</v>
      </c>
      <c r="R391" s="24">
        <f>SUM(R389:R390)</f>
        <v>62</v>
      </c>
      <c r="S391" s="24">
        <f>SUM(S389:S390)</f>
        <v>0</v>
      </c>
      <c r="T391" s="24">
        <f>SUM(T389:T390)</f>
        <v>19</v>
      </c>
      <c r="U391" s="24">
        <f>SUM(U389:U390)</f>
        <v>156</v>
      </c>
      <c r="V391" s="26">
        <f>IF(I391-Q391=0,"",IF(D391="",(P391+S391)/(I391-Q391),IF(AND(D391&lt;&gt;"",(P391+S391)/(I391-Q391)&gt;=50%),(P391+S391)/(I391-Q391),"")))</f>
        <v>0.5317919075144508</v>
      </c>
      <c r="W391" s="26">
        <f>IF(I391=O391,"",IF(V391="",0,(P391+Q391+S391-O391)/(I391-O391)))</f>
        <v>0.3076923076923077</v>
      </c>
      <c r="X391" s="49"/>
      <c r="Y391" s="49"/>
      <c r="Z391" s="49"/>
      <c r="AA391" s="49"/>
      <c r="AB391" s="50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</row>
    <row r="392" spans="1:41" s="53" customFormat="1" ht="23.25" customHeight="1">
      <c r="A392" s="47"/>
      <c r="B392" s="138" t="s">
        <v>176</v>
      </c>
      <c r="C392" s="105" t="s">
        <v>154</v>
      </c>
      <c r="D392" s="29"/>
      <c r="E392" s="16" t="s">
        <v>27</v>
      </c>
      <c r="F392" s="15"/>
      <c r="G392" s="15"/>
      <c r="H392" s="15"/>
      <c r="I392" s="17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8"/>
      <c r="X392" s="49"/>
      <c r="Y392" s="49"/>
      <c r="Z392" s="49"/>
      <c r="AA392" s="49"/>
      <c r="AB392" s="50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</row>
    <row r="393" spans="1:41" s="53" customFormat="1" ht="20.25" customHeight="1">
      <c r="A393" s="47">
        <v>63</v>
      </c>
      <c r="B393" s="139"/>
      <c r="C393" s="110" t="str">
        <f>IF(A393="","VARA",VLOOKUP(A393,'[1]varas'!$A$4:$B$67,2))</f>
        <v>PAJT Sertânia</v>
      </c>
      <c r="D393" s="103"/>
      <c r="E393" s="91"/>
      <c r="F393" s="92">
        <f>15+8+3</f>
        <v>26</v>
      </c>
      <c r="G393" s="92">
        <v>0</v>
      </c>
      <c r="H393" s="92">
        <v>0</v>
      </c>
      <c r="I393" s="93">
        <f>SUM(F393:H393)</f>
        <v>26</v>
      </c>
      <c r="J393" s="92">
        <v>7</v>
      </c>
      <c r="K393" s="92">
        <v>8</v>
      </c>
      <c r="L393" s="92">
        <v>3</v>
      </c>
      <c r="M393" s="92">
        <v>0</v>
      </c>
      <c r="N393" s="92">
        <v>0</v>
      </c>
      <c r="O393" s="92">
        <v>8</v>
      </c>
      <c r="P393" s="92">
        <f>SUM(J393:O393)</f>
        <v>26</v>
      </c>
      <c r="Q393" s="92">
        <v>0</v>
      </c>
      <c r="R393" s="92">
        <v>0</v>
      </c>
      <c r="S393" s="92">
        <v>0</v>
      </c>
      <c r="T393" s="92">
        <v>0</v>
      </c>
      <c r="U393" s="92">
        <v>55</v>
      </c>
      <c r="V393" s="94"/>
      <c r="W393" s="94"/>
      <c r="X393" s="49"/>
      <c r="Y393" s="49"/>
      <c r="Z393" s="49"/>
      <c r="AA393" s="49"/>
      <c r="AB393" s="50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</row>
    <row r="394" spans="1:41" s="53" customFormat="1" ht="20.25" customHeight="1">
      <c r="A394" s="47">
        <v>58</v>
      </c>
      <c r="B394" s="139"/>
      <c r="C394" s="110" t="str">
        <f>IF(A394="","VARA",VLOOKUP(A394,'[1]varas'!$A$4:$B$67,2))</f>
        <v>VT S.Talhada</v>
      </c>
      <c r="D394" s="103"/>
      <c r="E394" s="91"/>
      <c r="F394" s="92">
        <f>24+44+3</f>
        <v>71</v>
      </c>
      <c r="G394" s="92">
        <v>0</v>
      </c>
      <c r="H394" s="92">
        <v>0</v>
      </c>
      <c r="I394" s="93">
        <f>SUM(F394:H394)</f>
        <v>71</v>
      </c>
      <c r="J394" s="92">
        <v>6</v>
      </c>
      <c r="K394" s="92">
        <v>5</v>
      </c>
      <c r="L394" s="92">
        <v>1</v>
      </c>
      <c r="M394" s="92">
        <v>2</v>
      </c>
      <c r="N394" s="92">
        <v>0</v>
      </c>
      <c r="O394" s="92">
        <v>44</v>
      </c>
      <c r="P394" s="92">
        <f>SUM(J394:O394)</f>
        <v>58</v>
      </c>
      <c r="Q394" s="92">
        <v>13</v>
      </c>
      <c r="R394" s="92">
        <v>0</v>
      </c>
      <c r="S394" s="92">
        <v>0</v>
      </c>
      <c r="T394" s="92">
        <v>0</v>
      </c>
      <c r="U394" s="92">
        <v>59</v>
      </c>
      <c r="V394" s="94"/>
      <c r="W394" s="94"/>
      <c r="X394" s="49"/>
      <c r="Y394" s="49"/>
      <c r="Z394" s="49"/>
      <c r="AA394" s="49"/>
      <c r="AB394" s="50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</row>
    <row r="395" spans="1:41" s="53" customFormat="1" ht="20.25" customHeight="1">
      <c r="A395" s="47"/>
      <c r="B395" s="135"/>
      <c r="C395" s="106" t="s">
        <v>12</v>
      </c>
      <c r="D395" s="15"/>
      <c r="E395" s="16"/>
      <c r="F395" s="24">
        <f>SUM(F392:F394)</f>
        <v>97</v>
      </c>
      <c r="G395" s="24">
        <f>SUM(G392:G394)</f>
        <v>0</v>
      </c>
      <c r="H395" s="24">
        <f>SUM(H392:H394)</f>
        <v>0</v>
      </c>
      <c r="I395" s="40">
        <f>SUM(F395:H395)</f>
        <v>97</v>
      </c>
      <c r="J395" s="24">
        <f aca="true" t="shared" si="113" ref="J395:O395">SUM(J392:J394)</f>
        <v>13</v>
      </c>
      <c r="K395" s="24">
        <f t="shared" si="113"/>
        <v>13</v>
      </c>
      <c r="L395" s="24">
        <f t="shared" si="113"/>
        <v>4</v>
      </c>
      <c r="M395" s="24">
        <f t="shared" si="113"/>
        <v>2</v>
      </c>
      <c r="N395" s="24">
        <f t="shared" si="113"/>
        <v>0</v>
      </c>
      <c r="O395" s="24">
        <f t="shared" si="113"/>
        <v>52</v>
      </c>
      <c r="P395" s="24">
        <f>SUM(J395:O395)</f>
        <v>84</v>
      </c>
      <c r="Q395" s="24">
        <f>SUM(Q392:Q394)</f>
        <v>13</v>
      </c>
      <c r="R395" s="24">
        <f>SUM(R392:R394)</f>
        <v>0</v>
      </c>
      <c r="S395" s="24">
        <f>SUM(S392:S394)</f>
        <v>0</v>
      </c>
      <c r="T395" s="24">
        <f>SUM(T392:T394)</f>
        <v>0</v>
      </c>
      <c r="U395" s="99">
        <f>SUM(U392:U394)</f>
        <v>114</v>
      </c>
      <c r="V395" s="26">
        <f>IF(I395-Q395=0,"",IF(D395="",(P395+S395)/(I395-Q395),IF(AND(D395&lt;&gt;"",(P395+S395)/(I395-Q395)&gt;=50%),(P395+S395)/(I395-Q395),"")))</f>
        <v>1</v>
      </c>
      <c r="W395" s="26">
        <f>IF(I395=O395,"",IF(V395="",0,(P395+Q395+S395-O395)/(I395-O395)))</f>
        <v>1</v>
      </c>
      <c r="X395" s="49"/>
      <c r="Y395" s="49"/>
      <c r="Z395" s="49"/>
      <c r="AA395" s="49"/>
      <c r="AB395" s="50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</row>
    <row r="396" spans="1:41" s="39" customFormat="1" ht="24" customHeight="1">
      <c r="A396" s="32"/>
      <c r="B396" s="130" t="s">
        <v>119</v>
      </c>
      <c r="C396" s="14" t="s">
        <v>154</v>
      </c>
      <c r="D396" s="29"/>
      <c r="E396" s="16" t="s">
        <v>27</v>
      </c>
      <c r="F396" s="15"/>
      <c r="G396" s="15"/>
      <c r="H396" s="15"/>
      <c r="I396" s="17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8"/>
      <c r="X396" s="30"/>
      <c r="Y396" s="30"/>
      <c r="Z396" s="30"/>
      <c r="AA396" s="30"/>
      <c r="AB396" s="34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</row>
    <row r="397" spans="1:41" s="39" customFormat="1" ht="24" customHeight="1">
      <c r="A397" s="32">
        <v>6</v>
      </c>
      <c r="B397" s="130"/>
      <c r="C397" s="20" t="str">
        <f>IF(A397="","VARA",VLOOKUP(A397,'[1]varas'!$A$4:$B$67,2))</f>
        <v>6ª VT Recife</v>
      </c>
      <c r="D397" s="29"/>
      <c r="E397" s="16"/>
      <c r="F397" s="15">
        <v>0</v>
      </c>
      <c r="G397" s="15">
        <v>0</v>
      </c>
      <c r="H397" s="15">
        <v>24</v>
      </c>
      <c r="I397" s="17">
        <f aca="true" t="shared" si="114" ref="I397:I402">SUM(F397:H397)</f>
        <v>24</v>
      </c>
      <c r="J397" s="15">
        <v>13</v>
      </c>
      <c r="K397" s="15">
        <v>2</v>
      </c>
      <c r="L397" s="15">
        <v>0</v>
      </c>
      <c r="M397" s="15">
        <v>0</v>
      </c>
      <c r="N397" s="15">
        <v>0</v>
      </c>
      <c r="O397" s="15">
        <v>0</v>
      </c>
      <c r="P397" s="15">
        <f aca="true" t="shared" si="115" ref="P397:P402">SUM(J397:O397)</f>
        <v>15</v>
      </c>
      <c r="Q397" s="15">
        <v>0</v>
      </c>
      <c r="R397" s="15">
        <v>8</v>
      </c>
      <c r="S397" s="15">
        <v>0</v>
      </c>
      <c r="T397" s="15">
        <v>1</v>
      </c>
      <c r="U397" s="15">
        <v>0</v>
      </c>
      <c r="V397" s="18"/>
      <c r="W397" s="18"/>
      <c r="X397" s="30"/>
      <c r="Y397" s="30"/>
      <c r="Z397" s="30"/>
      <c r="AA397" s="30"/>
      <c r="AB397" s="34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</row>
    <row r="398" spans="1:41" s="39" customFormat="1" ht="24" customHeight="1">
      <c r="A398" s="32">
        <v>48</v>
      </c>
      <c r="B398" s="130"/>
      <c r="C398" s="20" t="str">
        <f>IF(A398="","VARA",VLOOKUP(A398,'[1]varas'!$A$4:$B$67,2))</f>
        <v>VT Catende</v>
      </c>
      <c r="D398" s="29"/>
      <c r="E398" s="16"/>
      <c r="F398" s="15">
        <v>0</v>
      </c>
      <c r="G398" s="15">
        <v>0</v>
      </c>
      <c r="H398" s="15">
        <v>16</v>
      </c>
      <c r="I398" s="17">
        <f t="shared" si="114"/>
        <v>16</v>
      </c>
      <c r="J398" s="15">
        <v>15</v>
      </c>
      <c r="K398" s="15">
        <v>1</v>
      </c>
      <c r="L398" s="15">
        <v>0</v>
      </c>
      <c r="M398" s="15">
        <v>0</v>
      </c>
      <c r="N398" s="15">
        <v>0</v>
      </c>
      <c r="O398" s="15">
        <v>0</v>
      </c>
      <c r="P398" s="15">
        <f t="shared" si="115"/>
        <v>16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8"/>
      <c r="W398" s="18"/>
      <c r="X398" s="30"/>
      <c r="Y398" s="30"/>
      <c r="Z398" s="30"/>
      <c r="AA398" s="30"/>
      <c r="AB398" s="34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</row>
    <row r="399" spans="1:41" s="39" customFormat="1" ht="19.5" customHeight="1">
      <c r="A399" s="32">
        <v>44</v>
      </c>
      <c r="B399" s="137"/>
      <c r="C399" s="20" t="str">
        <f>IF(A399="","VARA",VLOOKUP(A399,'[1]varas'!$A$4:$B$67,2))</f>
        <v>2ª VT Petrolina</v>
      </c>
      <c r="D399" s="29"/>
      <c r="E399" s="16"/>
      <c r="F399" s="15">
        <v>0</v>
      </c>
      <c r="G399" s="15">
        <v>12</v>
      </c>
      <c r="H399" s="15">
        <v>6</v>
      </c>
      <c r="I399" s="17">
        <f t="shared" si="114"/>
        <v>18</v>
      </c>
      <c r="J399" s="15">
        <v>17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f t="shared" si="115"/>
        <v>17</v>
      </c>
      <c r="Q399" s="15">
        <v>0</v>
      </c>
      <c r="R399" s="15">
        <v>1</v>
      </c>
      <c r="S399" s="15">
        <v>0</v>
      </c>
      <c r="T399" s="15">
        <v>0</v>
      </c>
      <c r="U399" s="15">
        <v>0</v>
      </c>
      <c r="V399" s="18"/>
      <c r="W399" s="18"/>
      <c r="X399" s="30"/>
      <c r="Y399" s="30"/>
      <c r="Z399" s="30"/>
      <c r="AA399" s="30"/>
      <c r="AB399" s="34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</row>
    <row r="400" spans="1:41" s="39" customFormat="1" ht="19.5" customHeight="1">
      <c r="A400" s="32">
        <v>45</v>
      </c>
      <c r="B400" s="137"/>
      <c r="C400" s="20" t="str">
        <f>IF(A400="","VARA",VLOOKUP(A400,'[1]varas'!$A$4:$B$67,2))</f>
        <v>VT Araripina</v>
      </c>
      <c r="D400" s="29"/>
      <c r="E400" s="16"/>
      <c r="F400" s="15">
        <v>48</v>
      </c>
      <c r="G400" s="15">
        <v>0</v>
      </c>
      <c r="H400" s="15">
        <v>0</v>
      </c>
      <c r="I400" s="17">
        <f t="shared" si="114"/>
        <v>48</v>
      </c>
      <c r="J400" s="15">
        <v>17</v>
      </c>
      <c r="K400" s="15">
        <v>15</v>
      </c>
      <c r="L400" s="15">
        <v>1</v>
      </c>
      <c r="M400" s="15">
        <v>0</v>
      </c>
      <c r="N400" s="15">
        <v>0</v>
      </c>
      <c r="O400" s="15">
        <v>1</v>
      </c>
      <c r="P400" s="15">
        <f t="shared" si="115"/>
        <v>34</v>
      </c>
      <c r="Q400" s="15">
        <v>10</v>
      </c>
      <c r="R400" s="15">
        <v>4</v>
      </c>
      <c r="S400" s="15">
        <v>0</v>
      </c>
      <c r="T400" s="15">
        <v>0</v>
      </c>
      <c r="U400" s="15">
        <v>100</v>
      </c>
      <c r="V400" s="18"/>
      <c r="W400" s="18"/>
      <c r="X400" s="30"/>
      <c r="Y400" s="30"/>
      <c r="Z400" s="30"/>
      <c r="AA400" s="30"/>
      <c r="AB400" s="34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</row>
    <row r="401" spans="1:41" s="39" customFormat="1" ht="22.5" customHeight="1">
      <c r="A401" s="32">
        <v>50</v>
      </c>
      <c r="B401" s="137"/>
      <c r="C401" s="20" t="str">
        <f>IF(A401="","VARA",VLOOKUP(A401,'[1]varas'!$A$4:$B$67,2))</f>
        <v>VT Garanhuns</v>
      </c>
      <c r="D401" s="29"/>
      <c r="E401" s="16"/>
      <c r="F401" s="15">
        <f>9+18+3+4</f>
        <v>34</v>
      </c>
      <c r="G401" s="15">
        <v>0</v>
      </c>
      <c r="H401" s="15">
        <v>0</v>
      </c>
      <c r="I401" s="17">
        <f t="shared" si="114"/>
        <v>34</v>
      </c>
      <c r="J401" s="15">
        <v>1</v>
      </c>
      <c r="K401" s="15">
        <v>0</v>
      </c>
      <c r="L401" s="15">
        <v>3</v>
      </c>
      <c r="M401" s="15">
        <v>4</v>
      </c>
      <c r="N401" s="15">
        <v>0</v>
      </c>
      <c r="O401" s="15">
        <v>18</v>
      </c>
      <c r="P401" s="15">
        <f t="shared" si="115"/>
        <v>26</v>
      </c>
      <c r="Q401" s="15">
        <v>8</v>
      </c>
      <c r="R401" s="15">
        <v>0</v>
      </c>
      <c r="S401" s="15">
        <v>0</v>
      </c>
      <c r="T401" s="15">
        <v>0</v>
      </c>
      <c r="U401" s="15">
        <v>62</v>
      </c>
      <c r="V401" s="18"/>
      <c r="W401" s="18"/>
      <c r="X401" s="30"/>
      <c r="Y401" s="30"/>
      <c r="Z401" s="30"/>
      <c r="AA401" s="30"/>
      <c r="AB401" s="34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</row>
    <row r="402" spans="1:41" s="39" customFormat="1" ht="21.75" customHeight="1">
      <c r="A402" s="32"/>
      <c r="B402" s="131"/>
      <c r="C402" s="20" t="s">
        <v>12</v>
      </c>
      <c r="D402" s="15"/>
      <c r="E402" s="16"/>
      <c r="F402" s="24">
        <f>SUM(F396:F401)</f>
        <v>82</v>
      </c>
      <c r="G402" s="24">
        <f>SUM(G396:G401)</f>
        <v>12</v>
      </c>
      <c r="H402" s="24">
        <f>SUM(H396:H401)</f>
        <v>46</v>
      </c>
      <c r="I402" s="40">
        <f t="shared" si="114"/>
        <v>140</v>
      </c>
      <c r="J402" s="24">
        <f aca="true" t="shared" si="116" ref="J402:O402">SUM(J396:J401)</f>
        <v>63</v>
      </c>
      <c r="K402" s="24">
        <f t="shared" si="116"/>
        <v>18</v>
      </c>
      <c r="L402" s="24">
        <f t="shared" si="116"/>
        <v>4</v>
      </c>
      <c r="M402" s="24">
        <f t="shared" si="116"/>
        <v>4</v>
      </c>
      <c r="N402" s="24">
        <f t="shared" si="116"/>
        <v>0</v>
      </c>
      <c r="O402" s="24">
        <f t="shared" si="116"/>
        <v>19</v>
      </c>
      <c r="P402" s="24">
        <f t="shared" si="115"/>
        <v>108</v>
      </c>
      <c r="Q402" s="24">
        <f>SUM(Q396:Q401)</f>
        <v>18</v>
      </c>
      <c r="R402" s="24">
        <f>SUM(R396:R401)</f>
        <v>13</v>
      </c>
      <c r="S402" s="24">
        <f>SUM(S396:S401)</f>
        <v>0</v>
      </c>
      <c r="T402" s="24">
        <f>SUM(T396:T401)</f>
        <v>1</v>
      </c>
      <c r="U402" s="99">
        <f>SUM(U399:U401)</f>
        <v>162</v>
      </c>
      <c r="V402" s="26">
        <f>IF(I402-Q402=0,"",IF(D402="",(P402+S402)/(I402-Q402),IF(AND(D402&lt;&gt;"",(P402+S402)/(I402-Q402)&gt;=50%),(P402+S402)/(I402-Q402),"")))</f>
        <v>0.8852459016393442</v>
      </c>
      <c r="W402" s="26">
        <f>IF(I402=O402,"",IF(V402="",0,(P402+Q402+S402-O402)/(I402-O402)))</f>
        <v>0.8842975206611571</v>
      </c>
      <c r="X402" s="30"/>
      <c r="Y402" s="30"/>
      <c r="Z402" s="30"/>
      <c r="AA402" s="30"/>
      <c r="AB402" s="34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</row>
    <row r="403" spans="1:41" s="39" customFormat="1" ht="23.25" customHeight="1">
      <c r="A403" s="32"/>
      <c r="B403" s="138" t="s">
        <v>120</v>
      </c>
      <c r="C403" s="105" t="s">
        <v>2</v>
      </c>
      <c r="D403" s="29"/>
      <c r="E403" s="16" t="s">
        <v>27</v>
      </c>
      <c r="F403" s="15"/>
      <c r="G403" s="15"/>
      <c r="H403" s="15"/>
      <c r="I403" s="17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8"/>
      <c r="X403" s="30"/>
      <c r="Y403" s="30"/>
      <c r="Z403" s="30"/>
      <c r="AA403" s="30"/>
      <c r="AB403" s="34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</row>
    <row r="404" spans="1:41" s="39" customFormat="1" ht="18.75" customHeight="1">
      <c r="A404" s="32">
        <v>49</v>
      </c>
      <c r="B404" s="139"/>
      <c r="C404" s="106" t="str">
        <f>IF(A404="","VARA",VLOOKUP(A404,'[1]varas'!$A$4:$B$67,2))</f>
        <v>VT Escada</v>
      </c>
      <c r="D404" s="15"/>
      <c r="E404" s="16"/>
      <c r="F404" s="15">
        <f>24+11+4</f>
        <v>39</v>
      </c>
      <c r="G404" s="15">
        <v>5</v>
      </c>
      <c r="H404" s="15">
        <v>0</v>
      </c>
      <c r="I404" s="17">
        <f>SUM(F404:H404)</f>
        <v>44</v>
      </c>
      <c r="J404" s="15">
        <v>16</v>
      </c>
      <c r="K404" s="15">
        <v>11</v>
      </c>
      <c r="L404" s="15">
        <v>4</v>
      </c>
      <c r="M404" s="15">
        <v>0</v>
      </c>
      <c r="N404" s="15">
        <v>0</v>
      </c>
      <c r="O404" s="15">
        <v>11</v>
      </c>
      <c r="P404" s="15">
        <f>SUM(J404:O404)</f>
        <v>42</v>
      </c>
      <c r="Q404" s="15">
        <v>2</v>
      </c>
      <c r="R404" s="15">
        <v>0</v>
      </c>
      <c r="S404" s="15">
        <v>0</v>
      </c>
      <c r="T404" s="15">
        <v>0</v>
      </c>
      <c r="U404" s="15">
        <v>55</v>
      </c>
      <c r="V404" s="18"/>
      <c r="W404" s="18"/>
      <c r="X404" s="30"/>
      <c r="Y404" s="30"/>
      <c r="Z404" s="30"/>
      <c r="AA404" s="30"/>
      <c r="AB404" s="34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</row>
    <row r="405" spans="1:41" s="39" customFormat="1" ht="24" customHeight="1">
      <c r="A405" s="32"/>
      <c r="B405" s="135"/>
      <c r="C405" s="107" t="s">
        <v>12</v>
      </c>
      <c r="D405" s="33"/>
      <c r="E405" s="23"/>
      <c r="F405" s="24">
        <f>SUM(F403:F404)</f>
        <v>39</v>
      </c>
      <c r="G405" s="24">
        <f>SUM(G403:G404)</f>
        <v>5</v>
      </c>
      <c r="H405" s="24">
        <f>SUM(H403:H404)</f>
        <v>0</v>
      </c>
      <c r="I405" s="25">
        <f>SUM(F405:H405)</f>
        <v>44</v>
      </c>
      <c r="J405" s="24">
        <f aca="true" t="shared" si="117" ref="J405:O405">SUM(J403:J404)</f>
        <v>16</v>
      </c>
      <c r="K405" s="24">
        <f t="shared" si="117"/>
        <v>11</v>
      </c>
      <c r="L405" s="24">
        <f t="shared" si="117"/>
        <v>4</v>
      </c>
      <c r="M405" s="24">
        <f t="shared" si="117"/>
        <v>0</v>
      </c>
      <c r="N405" s="24">
        <f t="shared" si="117"/>
        <v>0</v>
      </c>
      <c r="O405" s="24">
        <f t="shared" si="117"/>
        <v>11</v>
      </c>
      <c r="P405" s="24">
        <f>SUM(J405:O405)</f>
        <v>42</v>
      </c>
      <c r="Q405" s="24">
        <f>SUM(Q403:Q404)</f>
        <v>2</v>
      </c>
      <c r="R405" s="24">
        <f>SUM(R403:R404)</f>
        <v>0</v>
      </c>
      <c r="S405" s="24">
        <f>SUM(S403:S404)</f>
        <v>0</v>
      </c>
      <c r="T405" s="24">
        <f>SUM(T403:T404)</f>
        <v>0</v>
      </c>
      <c r="U405" s="24">
        <f>SUM(U403:U404)</f>
        <v>55</v>
      </c>
      <c r="V405" s="26">
        <f>IF(I405-Q405=0,"",IF(D405="",(P405+S405)/(I405-Q405),IF(AND(D405&lt;&gt;"",(P405+S405)/(I405-Q405)&gt;=50%),(P405+S405)/(I405-Q405),"")))</f>
        <v>1</v>
      </c>
      <c r="W405" s="26">
        <f>IF(I405=O405,"",IF(V405="",0,(P405+Q405+S405-O405)/(I405-O405)))</f>
        <v>1</v>
      </c>
      <c r="X405" s="30"/>
      <c r="Y405" s="30"/>
      <c r="Z405" s="30"/>
      <c r="AA405" s="30"/>
      <c r="AB405" s="34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</row>
    <row r="406" spans="1:41" s="39" customFormat="1" ht="18.75" customHeight="1">
      <c r="A406" s="32"/>
      <c r="B406" s="138" t="s">
        <v>121</v>
      </c>
      <c r="C406" s="105" t="s">
        <v>2</v>
      </c>
      <c r="D406" s="29"/>
      <c r="E406" s="16" t="s">
        <v>27</v>
      </c>
      <c r="F406" s="15"/>
      <c r="G406" s="15"/>
      <c r="H406" s="15"/>
      <c r="I406" s="17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8"/>
      <c r="X406" s="30"/>
      <c r="Y406" s="30"/>
      <c r="Z406" s="30"/>
      <c r="AA406" s="30"/>
      <c r="AB406" s="34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</row>
    <row r="407" spans="1:41" s="39" customFormat="1" ht="23.25" customHeight="1">
      <c r="A407" s="32">
        <v>10</v>
      </c>
      <c r="B407" s="140"/>
      <c r="C407" s="106" t="str">
        <f>IF(A407="","VARA",VLOOKUP(A407,'[1]varas'!$A$4:$B$67,2))</f>
        <v>10ª VT Recife</v>
      </c>
      <c r="D407" s="15"/>
      <c r="E407" s="16"/>
      <c r="F407" s="15">
        <f>34+16+14+10</f>
        <v>74</v>
      </c>
      <c r="G407" s="15">
        <v>0</v>
      </c>
      <c r="H407" s="15">
        <v>2</v>
      </c>
      <c r="I407" s="17">
        <f>SUM(F407:H407)</f>
        <v>76</v>
      </c>
      <c r="J407" s="15">
        <v>12</v>
      </c>
      <c r="K407" s="15">
        <v>11</v>
      </c>
      <c r="L407" s="15">
        <v>14</v>
      </c>
      <c r="M407" s="15">
        <v>10</v>
      </c>
      <c r="N407" s="15">
        <v>0</v>
      </c>
      <c r="O407" s="15">
        <v>16</v>
      </c>
      <c r="P407" s="15">
        <f>SUM(J407:O407)</f>
        <v>63</v>
      </c>
      <c r="Q407" s="15">
        <v>0</v>
      </c>
      <c r="R407" s="15">
        <v>13</v>
      </c>
      <c r="S407" s="15">
        <v>0</v>
      </c>
      <c r="T407" s="15">
        <v>0</v>
      </c>
      <c r="U407" s="15">
        <v>137</v>
      </c>
      <c r="V407" s="18"/>
      <c r="W407" s="18"/>
      <c r="X407" s="30"/>
      <c r="Y407" s="30"/>
      <c r="Z407" s="30"/>
      <c r="AA407" s="30"/>
      <c r="AB407" s="34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</row>
    <row r="408" spans="1:41" s="39" customFormat="1" ht="19.5" customHeight="1">
      <c r="A408" s="32"/>
      <c r="B408" s="135"/>
      <c r="C408" s="107" t="s">
        <v>12</v>
      </c>
      <c r="D408" s="33"/>
      <c r="E408" s="23"/>
      <c r="F408" s="24">
        <f>SUM(F406:F407)</f>
        <v>74</v>
      </c>
      <c r="G408" s="24">
        <f>SUM(G406:G407)</f>
        <v>0</v>
      </c>
      <c r="H408" s="24">
        <f>SUM(H406:H407)</f>
        <v>2</v>
      </c>
      <c r="I408" s="40">
        <f>SUM(F408:H408)</f>
        <v>76</v>
      </c>
      <c r="J408" s="24">
        <f aca="true" t="shared" si="118" ref="J408:O408">SUM(J406:J407)</f>
        <v>12</v>
      </c>
      <c r="K408" s="24">
        <f t="shared" si="118"/>
        <v>11</v>
      </c>
      <c r="L408" s="24">
        <f t="shared" si="118"/>
        <v>14</v>
      </c>
      <c r="M408" s="24">
        <f t="shared" si="118"/>
        <v>10</v>
      </c>
      <c r="N408" s="24">
        <f t="shared" si="118"/>
        <v>0</v>
      </c>
      <c r="O408" s="24">
        <f t="shared" si="118"/>
        <v>16</v>
      </c>
      <c r="P408" s="24">
        <f>SUM(J408:O408)</f>
        <v>63</v>
      </c>
      <c r="Q408" s="24">
        <f>SUM(Q406:Q407)</f>
        <v>0</v>
      </c>
      <c r="R408" s="24">
        <f>SUM(R406:R407)</f>
        <v>13</v>
      </c>
      <c r="S408" s="24">
        <f>SUM(S406:S407)</f>
        <v>0</v>
      </c>
      <c r="T408" s="24">
        <f>SUM(T406:T407)</f>
        <v>0</v>
      </c>
      <c r="U408" s="24">
        <f>SUM(U406:U407)</f>
        <v>137</v>
      </c>
      <c r="V408" s="26">
        <f>IF(I408-Q408=0,"",IF(D408="",(P408+S408)/(I408-Q408),IF(AND(D408&lt;&gt;"",(P408+S408)/(I408-Q408)&gt;=50%),(P408+S408)/(I408-Q408),"")))</f>
        <v>0.8289473684210527</v>
      </c>
      <c r="W408" s="26">
        <f>IF(I408=O408,"",IF(V408="",0,(P408+Q408+S408-O408)/(I408-O408)))</f>
        <v>0.7833333333333333</v>
      </c>
      <c r="X408" s="30"/>
      <c r="Y408" s="30"/>
      <c r="Z408" s="30"/>
      <c r="AA408" s="30"/>
      <c r="AB408" s="34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</row>
    <row r="409" spans="1:41" s="39" customFormat="1" ht="24" customHeight="1">
      <c r="A409" s="32"/>
      <c r="B409" s="130" t="s">
        <v>174</v>
      </c>
      <c r="C409" s="14" t="s">
        <v>156</v>
      </c>
      <c r="D409" s="29" t="s">
        <v>30</v>
      </c>
      <c r="E409" s="16" t="s">
        <v>193</v>
      </c>
      <c r="F409" s="15"/>
      <c r="G409" s="15"/>
      <c r="H409" s="15"/>
      <c r="I409" s="17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8"/>
      <c r="X409" s="30"/>
      <c r="Y409" s="30"/>
      <c r="Z409" s="30"/>
      <c r="AA409" s="30"/>
      <c r="AB409" s="34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</row>
    <row r="410" spans="1:41" s="39" customFormat="1" ht="19.5" customHeight="1">
      <c r="A410" s="32">
        <v>26</v>
      </c>
      <c r="B410" s="137"/>
      <c r="C410" s="20" t="str">
        <f>IF(A410="","VARA",VLOOKUP(A410,'[1]varas'!$A$4:$B$67,2))</f>
        <v>1ª VT Cabo</v>
      </c>
      <c r="D410" s="29"/>
      <c r="E410" s="16"/>
      <c r="F410" s="15">
        <f>38+5+8</f>
        <v>51</v>
      </c>
      <c r="G410" s="15">
        <v>12</v>
      </c>
      <c r="H410" s="15">
        <v>17</v>
      </c>
      <c r="I410" s="17">
        <f>SUM(F410:H410)</f>
        <v>80</v>
      </c>
      <c r="J410" s="15">
        <v>16</v>
      </c>
      <c r="K410" s="15">
        <v>14</v>
      </c>
      <c r="L410" s="15">
        <v>0</v>
      </c>
      <c r="M410" s="15">
        <v>1</v>
      </c>
      <c r="N410" s="15">
        <v>0</v>
      </c>
      <c r="O410" s="15">
        <v>5</v>
      </c>
      <c r="P410" s="15">
        <f>SUM(J410:O410)</f>
        <v>36</v>
      </c>
      <c r="Q410" s="15">
        <v>18</v>
      </c>
      <c r="R410" s="15">
        <v>26</v>
      </c>
      <c r="S410" s="15">
        <v>0</v>
      </c>
      <c r="T410" s="15">
        <v>0</v>
      </c>
      <c r="U410" s="15">
        <v>65</v>
      </c>
      <c r="V410" s="18"/>
      <c r="W410" s="18"/>
      <c r="X410" s="30"/>
      <c r="Y410" s="30"/>
      <c r="Z410" s="30"/>
      <c r="AA410" s="30"/>
      <c r="AB410" s="34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</row>
    <row r="411" spans="1:41" s="39" customFormat="1" ht="24" customHeight="1">
      <c r="A411" s="32">
        <v>27</v>
      </c>
      <c r="B411" s="137"/>
      <c r="C411" s="20" t="str">
        <f>IF(A411="","VARA",VLOOKUP(A411,'[1]varas'!$A$4:$B$67,2))</f>
        <v>2ª VT Cabo</v>
      </c>
      <c r="D411" s="29"/>
      <c r="E411" s="16"/>
      <c r="F411" s="15">
        <f>17+8+3+3</f>
        <v>31</v>
      </c>
      <c r="G411" s="15">
        <v>0</v>
      </c>
      <c r="H411" s="15">
        <v>0</v>
      </c>
      <c r="I411" s="17">
        <f>SUM(F411:H411)</f>
        <v>31</v>
      </c>
      <c r="J411" s="15">
        <v>1</v>
      </c>
      <c r="K411" s="15">
        <v>8</v>
      </c>
      <c r="L411" s="15">
        <v>0</v>
      </c>
      <c r="M411" s="15">
        <v>2</v>
      </c>
      <c r="N411" s="15">
        <v>0</v>
      </c>
      <c r="O411" s="15">
        <v>8</v>
      </c>
      <c r="P411" s="15">
        <f>SUM(J411:O411)</f>
        <v>19</v>
      </c>
      <c r="Q411" s="15">
        <v>10</v>
      </c>
      <c r="R411" s="15">
        <v>2</v>
      </c>
      <c r="S411" s="15">
        <v>0</v>
      </c>
      <c r="T411" s="15">
        <v>0</v>
      </c>
      <c r="U411" s="15">
        <v>30</v>
      </c>
      <c r="V411" s="18"/>
      <c r="W411" s="18"/>
      <c r="X411" s="30"/>
      <c r="Y411" s="30"/>
      <c r="Z411" s="30"/>
      <c r="AA411" s="30"/>
      <c r="AB411" s="34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</row>
    <row r="412" spans="1:41" s="39" customFormat="1" ht="17.25" customHeight="1">
      <c r="A412" s="32"/>
      <c r="B412" s="131"/>
      <c r="C412" s="20" t="s">
        <v>12</v>
      </c>
      <c r="D412" s="15"/>
      <c r="E412" s="48"/>
      <c r="F412" s="24">
        <f>SUM(F409:F411)</f>
        <v>82</v>
      </c>
      <c r="G412" s="24">
        <f>SUM(G409:G411)</f>
        <v>12</v>
      </c>
      <c r="H412" s="24">
        <f>SUM(H409:H411)</f>
        <v>17</v>
      </c>
      <c r="I412" s="40">
        <f>SUM(F412:H412)</f>
        <v>111</v>
      </c>
      <c r="J412" s="24">
        <f aca="true" t="shared" si="119" ref="J412:O412">SUM(J409:J411)</f>
        <v>17</v>
      </c>
      <c r="K412" s="24">
        <f t="shared" si="119"/>
        <v>22</v>
      </c>
      <c r="L412" s="24">
        <f t="shared" si="119"/>
        <v>0</v>
      </c>
      <c r="M412" s="24">
        <f t="shared" si="119"/>
        <v>3</v>
      </c>
      <c r="N412" s="24">
        <f t="shared" si="119"/>
        <v>0</v>
      </c>
      <c r="O412" s="24">
        <f t="shared" si="119"/>
        <v>13</v>
      </c>
      <c r="P412" s="24">
        <f>SUM(J412:O412)</f>
        <v>55</v>
      </c>
      <c r="Q412" s="24">
        <f>SUM(Q409:Q411)</f>
        <v>28</v>
      </c>
      <c r="R412" s="24">
        <f>SUM(R409:R411)</f>
        <v>28</v>
      </c>
      <c r="S412" s="24">
        <f>SUM(S409:S411)</f>
        <v>0</v>
      </c>
      <c r="T412" s="24">
        <f>SUM(T409:T411)</f>
        <v>0</v>
      </c>
      <c r="U412" s="24">
        <f>SUM(U409:U411)</f>
        <v>95</v>
      </c>
      <c r="V412" s="26">
        <f>IF(I412-Q412=0,"",IF(D412="",(P412+S412)/(I412-Q412),IF(AND(D412&lt;&gt;"",(P412+S412)/(I412-Q412)&gt;=50%),(P412+S412)/(I412-Q412),"")))</f>
        <v>0.6626506024096386</v>
      </c>
      <c r="W412" s="26">
        <f>IF(I412=O412,"",IF(V412="",0,(P412+Q412+S412-O412)/(I412-O412)))</f>
        <v>0.7142857142857143</v>
      </c>
      <c r="X412" s="30"/>
      <c r="Y412" s="30"/>
      <c r="Z412" s="30"/>
      <c r="AA412" s="30"/>
      <c r="AB412" s="34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</row>
    <row r="413" spans="1:41" s="39" customFormat="1" ht="24" customHeight="1">
      <c r="A413" s="32"/>
      <c r="B413" s="138" t="s">
        <v>122</v>
      </c>
      <c r="C413" s="105" t="s">
        <v>156</v>
      </c>
      <c r="D413" s="29" t="s">
        <v>158</v>
      </c>
      <c r="E413" s="16" t="s">
        <v>175</v>
      </c>
      <c r="F413" s="15"/>
      <c r="G413" s="15"/>
      <c r="H413" s="15"/>
      <c r="I413" s="17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8"/>
      <c r="X413" s="30"/>
      <c r="Y413" s="30"/>
      <c r="Z413" s="30"/>
      <c r="AA413" s="30"/>
      <c r="AB413" s="34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</row>
    <row r="414" spans="1:41" s="39" customFormat="1" ht="21.75" customHeight="1">
      <c r="A414" s="32">
        <v>37</v>
      </c>
      <c r="B414" s="139"/>
      <c r="C414" s="106" t="str">
        <f>IF(A414="","VARA",VLOOKUP(A414,'[1]varas'!$A$4:$B$67,2))</f>
        <v>4ª VT Jaboatão</v>
      </c>
      <c r="D414" s="29"/>
      <c r="E414" s="16"/>
      <c r="F414" s="15">
        <v>0</v>
      </c>
      <c r="G414" s="15">
        <v>0</v>
      </c>
      <c r="H414" s="15">
        <v>0</v>
      </c>
      <c r="I414" s="17">
        <f>SUM(F414:H414)</f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f>SUM(J414:O414)</f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8"/>
      <c r="W414" s="18"/>
      <c r="X414" s="30"/>
      <c r="Y414" s="30"/>
      <c r="Z414" s="30"/>
      <c r="AA414" s="30"/>
      <c r="AB414" s="34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</row>
    <row r="415" spans="1:41" s="39" customFormat="1" ht="15.75" customHeight="1">
      <c r="A415" s="32"/>
      <c r="B415" s="135"/>
      <c r="C415" s="106" t="s">
        <v>12</v>
      </c>
      <c r="D415" s="15"/>
      <c r="E415" s="48"/>
      <c r="F415" s="24">
        <f>SUM(F413:F414)</f>
        <v>0</v>
      </c>
      <c r="G415" s="24">
        <f>SUM(G413:G414)</f>
        <v>0</v>
      </c>
      <c r="H415" s="24">
        <f>SUM(H413:H414)</f>
        <v>0</v>
      </c>
      <c r="I415" s="40">
        <f>SUM(F415:H415)</f>
        <v>0</v>
      </c>
      <c r="J415" s="24">
        <f aca="true" t="shared" si="120" ref="J415:O415">SUM(J413:J414)</f>
        <v>0</v>
      </c>
      <c r="K415" s="24">
        <f t="shared" si="120"/>
        <v>0</v>
      </c>
      <c r="L415" s="24">
        <f t="shared" si="120"/>
        <v>0</v>
      </c>
      <c r="M415" s="24">
        <f t="shared" si="120"/>
        <v>0</v>
      </c>
      <c r="N415" s="24">
        <f t="shared" si="120"/>
        <v>0</v>
      </c>
      <c r="O415" s="24">
        <f t="shared" si="120"/>
        <v>0</v>
      </c>
      <c r="P415" s="24">
        <f>SUM(J415:O415)</f>
        <v>0</v>
      </c>
      <c r="Q415" s="24">
        <f>SUM(Q413:Q414)</f>
        <v>0</v>
      </c>
      <c r="R415" s="24">
        <f>SUM(R413:R414)</f>
        <v>0</v>
      </c>
      <c r="S415" s="24">
        <f>SUM(S413:S414)</f>
        <v>0</v>
      </c>
      <c r="T415" s="24">
        <f>SUM(T413:T414)</f>
        <v>0</v>
      </c>
      <c r="U415" s="24">
        <f>SUM(U413:U414)</f>
        <v>0</v>
      </c>
      <c r="V415" s="26">
        <f>IF(I415-Q415=0,"",IF(D415="",(P415+S415)/(I415-Q415),IF(AND(D415&lt;&gt;"",(P415+S415)/(I415-Q415)&gt;=50%),(P415+S415)/(I415-Q415),"")))</f>
      </c>
      <c r="W415" s="26">
        <f>IF(I415=O415,"",IF(V415="",0,(P415+Q415+S415-O415)/(I415-O415)))</f>
      </c>
      <c r="X415" s="30"/>
      <c r="Y415" s="30"/>
      <c r="Z415" s="30"/>
      <c r="AA415" s="30"/>
      <c r="AB415" s="34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</row>
    <row r="416" spans="1:41" s="39" customFormat="1" ht="28.5" customHeight="1">
      <c r="A416" s="32"/>
      <c r="B416" s="138" t="s">
        <v>123</v>
      </c>
      <c r="C416" s="105" t="s">
        <v>2</v>
      </c>
      <c r="D416" s="29" t="s">
        <v>30</v>
      </c>
      <c r="E416" s="16" t="s">
        <v>229</v>
      </c>
      <c r="F416" s="15"/>
      <c r="G416" s="15"/>
      <c r="H416" s="15"/>
      <c r="I416" s="17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8"/>
      <c r="X416" s="30"/>
      <c r="Y416" s="30"/>
      <c r="Z416" s="30"/>
      <c r="AA416" s="30"/>
      <c r="AB416" s="34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</row>
    <row r="417" spans="1:41" s="39" customFormat="1" ht="22.5" customHeight="1">
      <c r="A417" s="32">
        <v>65</v>
      </c>
      <c r="B417" s="139"/>
      <c r="C417" s="106" t="str">
        <f>IF(A417="","VARA",VLOOKUP(A417,'[1]varas'!$A$4:$B$76,2))</f>
        <v>3ª VT Ipojuca</v>
      </c>
      <c r="D417" s="15"/>
      <c r="E417" s="16"/>
      <c r="F417" s="15">
        <v>8</v>
      </c>
      <c r="G417" s="15">
        <v>7</v>
      </c>
      <c r="H417" s="15">
        <v>15</v>
      </c>
      <c r="I417" s="17">
        <f>SUM(F417:H417)</f>
        <v>30</v>
      </c>
      <c r="J417" s="15">
        <v>15</v>
      </c>
      <c r="K417" s="15">
        <v>0</v>
      </c>
      <c r="L417" s="15">
        <v>8</v>
      </c>
      <c r="M417" s="15">
        <v>0</v>
      </c>
      <c r="N417" s="15">
        <v>0</v>
      </c>
      <c r="O417" s="15">
        <v>0</v>
      </c>
      <c r="P417" s="15">
        <f>SUM(J417:O417)</f>
        <v>23</v>
      </c>
      <c r="Q417" s="15">
        <v>7</v>
      </c>
      <c r="R417" s="15">
        <v>0</v>
      </c>
      <c r="S417" s="15">
        <v>0</v>
      </c>
      <c r="T417" s="15">
        <v>0</v>
      </c>
      <c r="U417" s="15">
        <v>0</v>
      </c>
      <c r="V417" s="18"/>
      <c r="W417" s="18"/>
      <c r="X417" s="30"/>
      <c r="Y417" s="30"/>
      <c r="Z417" s="30"/>
      <c r="AA417" s="30"/>
      <c r="AB417" s="34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</row>
    <row r="418" spans="1:41" s="39" customFormat="1" ht="23.25" customHeight="1">
      <c r="A418" s="32"/>
      <c r="B418" s="135"/>
      <c r="C418" s="107" t="s">
        <v>12</v>
      </c>
      <c r="D418" s="33"/>
      <c r="E418" s="52"/>
      <c r="F418" s="24">
        <f>SUM(F416:F417)</f>
        <v>8</v>
      </c>
      <c r="G418" s="24">
        <f>SUM(G416:G417)</f>
        <v>7</v>
      </c>
      <c r="H418" s="24">
        <f>SUM(H416:H417)</f>
        <v>15</v>
      </c>
      <c r="I418" s="25">
        <f>SUM(F418:H418)</f>
        <v>30</v>
      </c>
      <c r="J418" s="24">
        <f aca="true" t="shared" si="121" ref="J418:O418">SUM(J416:J417)</f>
        <v>15</v>
      </c>
      <c r="K418" s="24">
        <f t="shared" si="121"/>
        <v>0</v>
      </c>
      <c r="L418" s="24">
        <f t="shared" si="121"/>
        <v>8</v>
      </c>
      <c r="M418" s="24">
        <f t="shared" si="121"/>
        <v>0</v>
      </c>
      <c r="N418" s="24">
        <f t="shared" si="121"/>
        <v>0</v>
      </c>
      <c r="O418" s="24">
        <f t="shared" si="121"/>
        <v>0</v>
      </c>
      <c r="P418" s="24">
        <f>SUM(J418:O418)</f>
        <v>23</v>
      </c>
      <c r="Q418" s="24">
        <f>SUM(Q416:Q417)</f>
        <v>7</v>
      </c>
      <c r="R418" s="24">
        <f>SUM(R416:R417)</f>
        <v>0</v>
      </c>
      <c r="S418" s="24">
        <f>SUM(S416:S417)</f>
        <v>0</v>
      </c>
      <c r="T418" s="24">
        <f>SUM(T416:T417)</f>
        <v>0</v>
      </c>
      <c r="U418" s="24">
        <f>SUM(U416:U417)</f>
        <v>0</v>
      </c>
      <c r="V418" s="26">
        <f>IF(I418-Q418=0,"",IF(D418="",(P418+S418)/(I418-Q418),IF(AND(D418&lt;&gt;"",(P418+S418)/(I418-Q418)&gt;=50%),(P418+S418)/(I418-Q418),"")))</f>
        <v>1</v>
      </c>
      <c r="W418" s="26">
        <f>IF(I418=O418,"",IF(V418="",0,(P418+Q418+S418-O418)/(I418-O418)))</f>
        <v>1</v>
      </c>
      <c r="X418" s="30"/>
      <c r="Y418" s="30"/>
      <c r="Z418" s="30"/>
      <c r="AA418" s="30"/>
      <c r="AB418" s="34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</row>
    <row r="419" spans="1:41" s="39" customFormat="1" ht="24.75" customHeight="1">
      <c r="A419" s="32"/>
      <c r="B419" s="116" t="s">
        <v>184</v>
      </c>
      <c r="C419" s="109" t="s">
        <v>156</v>
      </c>
      <c r="D419" s="90" t="s">
        <v>220</v>
      </c>
      <c r="E419" s="91" t="s">
        <v>230</v>
      </c>
      <c r="F419" s="113"/>
      <c r="G419" s="113"/>
      <c r="H419" s="113"/>
      <c r="I419" s="93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101"/>
      <c r="W419" s="101"/>
      <c r="X419" s="30"/>
      <c r="Y419" s="30"/>
      <c r="Z419" s="30"/>
      <c r="AA419" s="30"/>
      <c r="AB419" s="34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</row>
    <row r="420" spans="1:41" s="39" customFormat="1" ht="19.5" customHeight="1">
      <c r="A420" s="32">
        <v>11</v>
      </c>
      <c r="B420" s="117"/>
      <c r="C420" s="110" t="str">
        <f>IF(A420="","VARA",VLOOKUP(A420,'[1]varas'!$A$4:$B$67,2))</f>
        <v>11ª VT Recife</v>
      </c>
      <c r="D420" s="103"/>
      <c r="E420" s="91"/>
      <c r="F420" s="92">
        <v>13</v>
      </c>
      <c r="G420" s="92">
        <v>0</v>
      </c>
      <c r="H420" s="92">
        <v>0</v>
      </c>
      <c r="I420" s="93">
        <f aca="true" t="shared" si="122" ref="I420:I426">SUM(F420:H420)</f>
        <v>13</v>
      </c>
      <c r="J420" s="92">
        <v>6</v>
      </c>
      <c r="K420" s="92">
        <v>1</v>
      </c>
      <c r="L420" s="92">
        <v>0</v>
      </c>
      <c r="M420" s="92">
        <v>0</v>
      </c>
      <c r="N420" s="92">
        <v>0</v>
      </c>
      <c r="O420" s="92">
        <v>6</v>
      </c>
      <c r="P420" s="92">
        <f aca="true" t="shared" si="123" ref="P420:P426">SUM(J420:O420)</f>
        <v>13</v>
      </c>
      <c r="Q420" s="92">
        <v>0</v>
      </c>
      <c r="R420" s="92">
        <v>0</v>
      </c>
      <c r="S420" s="92">
        <v>0</v>
      </c>
      <c r="T420" s="92">
        <v>0</v>
      </c>
      <c r="U420" s="92">
        <v>10</v>
      </c>
      <c r="V420" s="101"/>
      <c r="W420" s="101"/>
      <c r="X420" s="30"/>
      <c r="Y420" s="30"/>
      <c r="Z420" s="30"/>
      <c r="AA420" s="30"/>
      <c r="AB420" s="34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</row>
    <row r="421" spans="1:41" s="39" customFormat="1" ht="21.75" customHeight="1">
      <c r="A421" s="32">
        <v>15</v>
      </c>
      <c r="B421" s="117"/>
      <c r="C421" s="110" t="str">
        <f>IF(A421="","VARA",VLOOKUP(A421,'[1]varas'!$A$4:$B$67,2))</f>
        <v>15ª VT Recife</v>
      </c>
      <c r="D421" s="103"/>
      <c r="E421" s="91"/>
      <c r="F421" s="92">
        <v>3</v>
      </c>
      <c r="G421" s="92">
        <v>0</v>
      </c>
      <c r="H421" s="92">
        <v>0</v>
      </c>
      <c r="I421" s="93">
        <f t="shared" si="122"/>
        <v>3</v>
      </c>
      <c r="J421" s="92">
        <v>0</v>
      </c>
      <c r="K421" s="92">
        <v>0</v>
      </c>
      <c r="L421" s="92">
        <v>0</v>
      </c>
      <c r="M421" s="92">
        <v>0</v>
      </c>
      <c r="N421" s="92">
        <v>0</v>
      </c>
      <c r="O421" s="92">
        <v>2</v>
      </c>
      <c r="P421" s="92">
        <f t="shared" si="123"/>
        <v>2</v>
      </c>
      <c r="Q421" s="92">
        <v>1</v>
      </c>
      <c r="R421" s="92">
        <v>0</v>
      </c>
      <c r="S421" s="92">
        <v>0</v>
      </c>
      <c r="T421" s="92">
        <v>0</v>
      </c>
      <c r="U421" s="92">
        <v>11</v>
      </c>
      <c r="V421" s="101"/>
      <c r="W421" s="101"/>
      <c r="X421" s="30"/>
      <c r="Y421" s="30"/>
      <c r="Z421" s="30"/>
      <c r="AA421" s="30"/>
      <c r="AB421" s="34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</row>
    <row r="422" spans="1:41" s="39" customFormat="1" ht="24.75" customHeight="1">
      <c r="A422" s="32">
        <v>16</v>
      </c>
      <c r="B422" s="117"/>
      <c r="C422" s="110" t="str">
        <f>IF(A422="","VARA",VLOOKUP(A422,'[1]varas'!$A$4:$B$67,2))</f>
        <v>16ª VT Recife</v>
      </c>
      <c r="D422" s="103"/>
      <c r="E422" s="91"/>
      <c r="F422" s="92">
        <v>12</v>
      </c>
      <c r="G422" s="92">
        <v>0</v>
      </c>
      <c r="H422" s="92">
        <v>0</v>
      </c>
      <c r="I422" s="93">
        <f t="shared" si="122"/>
        <v>12</v>
      </c>
      <c r="J422" s="92">
        <v>6</v>
      </c>
      <c r="K422" s="92">
        <v>0</v>
      </c>
      <c r="L422" s="92">
        <v>0</v>
      </c>
      <c r="M422" s="92">
        <v>0</v>
      </c>
      <c r="N422" s="92">
        <v>0</v>
      </c>
      <c r="O422" s="92">
        <v>6</v>
      </c>
      <c r="P422" s="92">
        <f t="shared" si="123"/>
        <v>12</v>
      </c>
      <c r="Q422" s="92">
        <v>0</v>
      </c>
      <c r="R422" s="92">
        <v>0</v>
      </c>
      <c r="S422" s="92">
        <v>0</v>
      </c>
      <c r="T422" s="92">
        <v>0</v>
      </c>
      <c r="U422" s="92">
        <v>32</v>
      </c>
      <c r="V422" s="101"/>
      <c r="W422" s="101"/>
      <c r="X422" s="30"/>
      <c r="Y422" s="30"/>
      <c r="Z422" s="30"/>
      <c r="AA422" s="30"/>
      <c r="AB422" s="34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</row>
    <row r="423" spans="1:41" s="39" customFormat="1" ht="24.75" customHeight="1">
      <c r="A423" s="32">
        <v>17</v>
      </c>
      <c r="B423" s="117"/>
      <c r="C423" s="110" t="str">
        <f>IF(A423="","VARA",VLOOKUP(A423,'[1]varas'!$A$4:$B$67,2))</f>
        <v>17ª VT Recife</v>
      </c>
      <c r="D423" s="103"/>
      <c r="E423" s="91"/>
      <c r="F423" s="92">
        <v>2</v>
      </c>
      <c r="G423" s="92">
        <v>0</v>
      </c>
      <c r="H423" s="92">
        <v>0</v>
      </c>
      <c r="I423" s="93">
        <f t="shared" si="122"/>
        <v>2</v>
      </c>
      <c r="J423" s="92">
        <v>2</v>
      </c>
      <c r="K423" s="92">
        <v>0</v>
      </c>
      <c r="L423" s="92">
        <v>0</v>
      </c>
      <c r="M423" s="92">
        <v>0</v>
      </c>
      <c r="N423" s="92">
        <v>0</v>
      </c>
      <c r="O423" s="92">
        <v>0</v>
      </c>
      <c r="P423" s="92">
        <f t="shared" si="123"/>
        <v>2</v>
      </c>
      <c r="Q423" s="92">
        <v>0</v>
      </c>
      <c r="R423" s="92">
        <v>0</v>
      </c>
      <c r="S423" s="92">
        <v>0</v>
      </c>
      <c r="T423" s="92">
        <v>0</v>
      </c>
      <c r="U423" s="92">
        <v>5</v>
      </c>
      <c r="V423" s="101"/>
      <c r="W423" s="101"/>
      <c r="X423" s="30"/>
      <c r="Y423" s="30"/>
      <c r="Z423" s="30"/>
      <c r="AA423" s="30"/>
      <c r="AB423" s="34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</row>
    <row r="424" spans="1:41" s="39" customFormat="1" ht="24.75" customHeight="1">
      <c r="A424" s="32">
        <v>43</v>
      </c>
      <c r="B424" s="117"/>
      <c r="C424" s="110" t="str">
        <f>IF(A424="","VARA",VLOOKUP(A424,'[1]varas'!$A$4:$B$67,2))</f>
        <v>1ª VT Petrolina</v>
      </c>
      <c r="D424" s="103"/>
      <c r="E424" s="91"/>
      <c r="F424" s="92">
        <v>19</v>
      </c>
      <c r="G424" s="92">
        <v>0</v>
      </c>
      <c r="H424" s="92">
        <v>0</v>
      </c>
      <c r="I424" s="93">
        <f t="shared" si="122"/>
        <v>19</v>
      </c>
      <c r="J424" s="92">
        <v>0</v>
      </c>
      <c r="K424" s="92">
        <v>3</v>
      </c>
      <c r="L424" s="92">
        <v>2</v>
      </c>
      <c r="M424" s="92">
        <v>1</v>
      </c>
      <c r="N424" s="92">
        <v>0</v>
      </c>
      <c r="O424" s="92">
        <v>6</v>
      </c>
      <c r="P424" s="92">
        <f t="shared" si="123"/>
        <v>12</v>
      </c>
      <c r="Q424" s="92">
        <v>7</v>
      </c>
      <c r="R424" s="92">
        <v>0</v>
      </c>
      <c r="S424" s="92">
        <v>0</v>
      </c>
      <c r="T424" s="92">
        <v>0</v>
      </c>
      <c r="U424" s="92">
        <v>40</v>
      </c>
      <c r="V424" s="101"/>
      <c r="W424" s="101"/>
      <c r="X424" s="30"/>
      <c r="Y424" s="30"/>
      <c r="Z424" s="30"/>
      <c r="AA424" s="30"/>
      <c r="AB424" s="34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</row>
    <row r="425" spans="1:41" s="39" customFormat="1" ht="18.75" customHeight="1">
      <c r="A425" s="32">
        <v>68</v>
      </c>
      <c r="B425" s="117"/>
      <c r="C425" s="110" t="s">
        <v>170</v>
      </c>
      <c r="D425" s="103"/>
      <c r="E425" s="91"/>
      <c r="F425" s="92">
        <v>0</v>
      </c>
      <c r="G425" s="92">
        <v>0</v>
      </c>
      <c r="H425" s="92">
        <v>0</v>
      </c>
      <c r="I425" s="93">
        <f t="shared" si="122"/>
        <v>0</v>
      </c>
      <c r="J425" s="92">
        <v>0</v>
      </c>
      <c r="K425" s="92">
        <v>0</v>
      </c>
      <c r="L425" s="92">
        <v>0</v>
      </c>
      <c r="M425" s="92">
        <v>0</v>
      </c>
      <c r="N425" s="92">
        <v>0</v>
      </c>
      <c r="O425" s="92">
        <v>0</v>
      </c>
      <c r="P425" s="92">
        <f t="shared" si="123"/>
        <v>0</v>
      </c>
      <c r="Q425" s="92">
        <v>0</v>
      </c>
      <c r="R425" s="92">
        <v>0</v>
      </c>
      <c r="S425" s="92">
        <v>0</v>
      </c>
      <c r="T425" s="92">
        <v>0</v>
      </c>
      <c r="U425" s="92">
        <v>0</v>
      </c>
      <c r="V425" s="101"/>
      <c r="W425" s="101"/>
      <c r="X425" s="30"/>
      <c r="Y425" s="30"/>
      <c r="Z425" s="30"/>
      <c r="AA425" s="30"/>
      <c r="AB425" s="34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</row>
    <row r="426" spans="1:41" s="39" customFormat="1" ht="19.5" customHeight="1">
      <c r="A426" s="32"/>
      <c r="B426" s="118"/>
      <c r="C426" s="114" t="s">
        <v>12</v>
      </c>
      <c r="D426" s="97"/>
      <c r="E426" s="98"/>
      <c r="F426" s="99">
        <f>SUM(F419:F425)</f>
        <v>49</v>
      </c>
      <c r="G426" s="99">
        <f>SUM(G419:G425)</f>
        <v>0</v>
      </c>
      <c r="H426" s="99">
        <f>SUM(H419:H425)</f>
        <v>0</v>
      </c>
      <c r="I426" s="100">
        <f t="shared" si="122"/>
        <v>49</v>
      </c>
      <c r="J426" s="99">
        <f aca="true" t="shared" si="124" ref="J426:O426">SUM(J419:J425)</f>
        <v>14</v>
      </c>
      <c r="K426" s="99">
        <f t="shared" si="124"/>
        <v>4</v>
      </c>
      <c r="L426" s="99">
        <f t="shared" si="124"/>
        <v>2</v>
      </c>
      <c r="M426" s="99">
        <f t="shared" si="124"/>
        <v>1</v>
      </c>
      <c r="N426" s="99">
        <f t="shared" si="124"/>
        <v>0</v>
      </c>
      <c r="O426" s="99">
        <f t="shared" si="124"/>
        <v>20</v>
      </c>
      <c r="P426" s="99">
        <f t="shared" si="123"/>
        <v>41</v>
      </c>
      <c r="Q426" s="99">
        <f>SUM(Q419:Q425)</f>
        <v>8</v>
      </c>
      <c r="R426" s="99">
        <f>SUM(R419:R425)</f>
        <v>0</v>
      </c>
      <c r="S426" s="99">
        <f>SUM(S419:S425)</f>
        <v>0</v>
      </c>
      <c r="T426" s="99">
        <f>SUM(T419:T425)</f>
        <v>0</v>
      </c>
      <c r="U426" s="99">
        <f>SUM(U419:U425)</f>
        <v>98</v>
      </c>
      <c r="V426" s="101">
        <f>IF(I426-Q426=0,"",IF(D426="",(P426+S426)/(I426-Q426),IF(AND(D426&lt;&gt;"",(P426+S426)/(I426-Q426)&gt;=50%),(P426+S426)/(I426-Q426),"")))</f>
        <v>1</v>
      </c>
      <c r="W426" s="101">
        <f>IF(I426=O426,"",IF(V426="",0,(P426+Q426+S426-O426)/(I426-O426)))</f>
        <v>1</v>
      </c>
      <c r="X426" s="30"/>
      <c r="Y426" s="30"/>
      <c r="Z426" s="30"/>
      <c r="AA426" s="30"/>
      <c r="AB426" s="34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</row>
    <row r="427" spans="1:41" s="39" customFormat="1" ht="18.75" customHeight="1">
      <c r="A427" s="32"/>
      <c r="B427" s="130" t="s">
        <v>124</v>
      </c>
      <c r="C427" s="14" t="s">
        <v>2</v>
      </c>
      <c r="D427" s="29"/>
      <c r="E427" s="16" t="s">
        <v>27</v>
      </c>
      <c r="F427" s="15"/>
      <c r="G427" s="15"/>
      <c r="H427" s="15"/>
      <c r="I427" s="17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8"/>
      <c r="X427" s="30"/>
      <c r="Y427" s="30"/>
      <c r="Z427" s="30"/>
      <c r="AA427" s="30"/>
      <c r="AB427" s="34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</row>
    <row r="428" spans="1:41" s="39" customFormat="1" ht="20.25" customHeight="1">
      <c r="A428" s="32">
        <v>4</v>
      </c>
      <c r="B428" s="137"/>
      <c r="C428" s="20" t="str">
        <f>IF(A428="","VARA",VLOOKUP(A428,'[1]varas'!$A$4:$B$102,2))</f>
        <v>4ª VT Recife</v>
      </c>
      <c r="D428" s="29"/>
      <c r="E428" s="16"/>
      <c r="F428" s="15">
        <f>31+22+7+12</f>
        <v>72</v>
      </c>
      <c r="G428" s="15">
        <v>15</v>
      </c>
      <c r="H428" s="15">
        <v>11</v>
      </c>
      <c r="I428" s="17">
        <f>SUM(F428:H428)</f>
        <v>98</v>
      </c>
      <c r="J428" s="15">
        <v>42</v>
      </c>
      <c r="K428" s="15">
        <v>0</v>
      </c>
      <c r="L428" s="15">
        <v>7</v>
      </c>
      <c r="M428" s="15">
        <v>12</v>
      </c>
      <c r="N428" s="15">
        <v>0</v>
      </c>
      <c r="O428" s="15">
        <v>22</v>
      </c>
      <c r="P428" s="15">
        <f>SUM(J428:O428)</f>
        <v>83</v>
      </c>
      <c r="Q428" s="15">
        <v>14</v>
      </c>
      <c r="R428" s="15">
        <v>1</v>
      </c>
      <c r="S428" s="15">
        <v>0</v>
      </c>
      <c r="T428" s="15">
        <v>0</v>
      </c>
      <c r="U428" s="15">
        <v>105</v>
      </c>
      <c r="V428" s="18"/>
      <c r="W428" s="18"/>
      <c r="X428" s="30"/>
      <c r="Y428" s="30"/>
      <c r="Z428" s="30"/>
      <c r="AA428" s="30"/>
      <c r="AB428" s="34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</row>
    <row r="429" spans="1:41" s="39" customFormat="1" ht="21.75" customHeight="1">
      <c r="A429" s="32"/>
      <c r="B429" s="131"/>
      <c r="C429" s="21" t="s">
        <v>12</v>
      </c>
      <c r="D429" s="33"/>
      <c r="E429" s="23"/>
      <c r="F429" s="24">
        <f>SUM(F427:F428)</f>
        <v>72</v>
      </c>
      <c r="G429" s="24">
        <f>SUM(G427:G428)</f>
        <v>15</v>
      </c>
      <c r="H429" s="24">
        <f>SUM(H427:H428)</f>
        <v>11</v>
      </c>
      <c r="I429" s="25">
        <f>SUM(F429:H429)</f>
        <v>98</v>
      </c>
      <c r="J429" s="24">
        <f aca="true" t="shared" si="125" ref="J429:O429">SUM(J427:J428)</f>
        <v>42</v>
      </c>
      <c r="K429" s="24">
        <f t="shared" si="125"/>
        <v>0</v>
      </c>
      <c r="L429" s="24">
        <f t="shared" si="125"/>
        <v>7</v>
      </c>
      <c r="M429" s="24">
        <f t="shared" si="125"/>
        <v>12</v>
      </c>
      <c r="N429" s="24">
        <f t="shared" si="125"/>
        <v>0</v>
      </c>
      <c r="O429" s="24">
        <f t="shared" si="125"/>
        <v>22</v>
      </c>
      <c r="P429" s="24">
        <f>SUM(J429:O429)</f>
        <v>83</v>
      </c>
      <c r="Q429" s="24">
        <f>SUM(Q427:Q428)</f>
        <v>14</v>
      </c>
      <c r="R429" s="24">
        <f>SUM(R427:R428)</f>
        <v>1</v>
      </c>
      <c r="S429" s="24">
        <f>SUM(S427:S428)</f>
        <v>0</v>
      </c>
      <c r="T429" s="24">
        <f>SUM(T427:T428)</f>
        <v>0</v>
      </c>
      <c r="U429" s="24">
        <f>SUM(U427:U428)</f>
        <v>105</v>
      </c>
      <c r="V429" s="26">
        <f>IF(I429-Q429=0,"",IF(D429="",(P429+S429)/(I429-Q429),IF(AND(D429&lt;&gt;"",(P429+S429)/(I429-Q429)&gt;=50%),(P429+S429)/(I429-Q429),"")))</f>
        <v>0.9880952380952381</v>
      </c>
      <c r="W429" s="26">
        <f>IF(I429=O429,"",IF(V429="",0,(P429+Q429+S429-O429)/(I429-O429)))</f>
        <v>0.9868421052631579</v>
      </c>
      <c r="X429" s="30"/>
      <c r="Y429" s="30"/>
      <c r="Z429" s="30"/>
      <c r="AA429" s="30"/>
      <c r="AB429" s="34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</row>
    <row r="430" spans="1:41" s="39" customFormat="1" ht="21.75" customHeight="1">
      <c r="A430" s="32"/>
      <c r="B430" s="138" t="s">
        <v>125</v>
      </c>
      <c r="C430" s="105" t="s">
        <v>2</v>
      </c>
      <c r="D430" s="15" t="s">
        <v>30</v>
      </c>
      <c r="E430" s="16" t="s">
        <v>207</v>
      </c>
      <c r="F430" s="15"/>
      <c r="G430" s="15"/>
      <c r="H430" s="15"/>
      <c r="I430" s="17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8"/>
      <c r="X430" s="30"/>
      <c r="Y430" s="30"/>
      <c r="Z430" s="30"/>
      <c r="AA430" s="30"/>
      <c r="AB430" s="34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</row>
    <row r="431" spans="1:41" s="39" customFormat="1" ht="21" customHeight="1">
      <c r="A431" s="32">
        <v>43</v>
      </c>
      <c r="B431" s="139"/>
      <c r="C431" s="106" t="str">
        <f>IF(A431="","VARA",VLOOKUP(A431,'[1]varas'!$A$4:$B$102,2))</f>
        <v>1ª VT Petrolina</v>
      </c>
      <c r="D431" s="15"/>
      <c r="E431" s="16"/>
      <c r="F431" s="15">
        <f>35+11+18+5</f>
        <v>69</v>
      </c>
      <c r="G431" s="15">
        <v>21</v>
      </c>
      <c r="H431" s="15">
        <v>0</v>
      </c>
      <c r="I431" s="17">
        <f>SUM(F431:H431)</f>
        <v>90</v>
      </c>
      <c r="J431" s="15">
        <v>41</v>
      </c>
      <c r="K431" s="15">
        <v>14</v>
      </c>
      <c r="L431" s="15">
        <v>18</v>
      </c>
      <c r="M431" s="15">
        <v>5</v>
      </c>
      <c r="N431" s="15">
        <v>0</v>
      </c>
      <c r="O431" s="15">
        <v>11</v>
      </c>
      <c r="P431" s="15">
        <f>SUM(J431:O431)</f>
        <v>89</v>
      </c>
      <c r="Q431" s="15">
        <v>0</v>
      </c>
      <c r="R431" s="15">
        <v>0</v>
      </c>
      <c r="S431" s="15">
        <v>0</v>
      </c>
      <c r="T431" s="15">
        <v>1</v>
      </c>
      <c r="U431" s="15">
        <v>58</v>
      </c>
      <c r="V431" s="18"/>
      <c r="W431" s="18"/>
      <c r="X431" s="30"/>
      <c r="Y431" s="30"/>
      <c r="Z431" s="30"/>
      <c r="AA431" s="30"/>
      <c r="AB431" s="34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</row>
    <row r="432" spans="1:41" s="39" customFormat="1" ht="15.75" customHeight="1">
      <c r="A432" s="32"/>
      <c r="B432" s="135"/>
      <c r="C432" s="107" t="s">
        <v>12</v>
      </c>
      <c r="D432" s="33"/>
      <c r="E432" s="23"/>
      <c r="F432" s="24">
        <f>SUM(F430:F431)</f>
        <v>69</v>
      </c>
      <c r="G432" s="24">
        <f>SUM(G430:G431)</f>
        <v>21</v>
      </c>
      <c r="H432" s="24">
        <f>SUM(H430:H431)</f>
        <v>0</v>
      </c>
      <c r="I432" s="40">
        <f>SUM(F432:H432)</f>
        <v>90</v>
      </c>
      <c r="J432" s="24">
        <f aca="true" t="shared" si="126" ref="J432:O432">SUM(J430:J431)</f>
        <v>41</v>
      </c>
      <c r="K432" s="24">
        <f t="shared" si="126"/>
        <v>14</v>
      </c>
      <c r="L432" s="24">
        <f t="shared" si="126"/>
        <v>18</v>
      </c>
      <c r="M432" s="24">
        <f t="shared" si="126"/>
        <v>5</v>
      </c>
      <c r="N432" s="24">
        <f t="shared" si="126"/>
        <v>0</v>
      </c>
      <c r="O432" s="24">
        <f t="shared" si="126"/>
        <v>11</v>
      </c>
      <c r="P432" s="24">
        <f>SUM(J432:O432)</f>
        <v>89</v>
      </c>
      <c r="Q432" s="24">
        <f>SUM(Q430:Q431)</f>
        <v>0</v>
      </c>
      <c r="R432" s="24">
        <f>SUM(R430:R431)</f>
        <v>0</v>
      </c>
      <c r="S432" s="24">
        <f>SUM(S430:S431)</f>
        <v>0</v>
      </c>
      <c r="T432" s="24">
        <f>SUM(T430:T431)</f>
        <v>1</v>
      </c>
      <c r="U432" s="24">
        <f>SUM(U430:U431)</f>
        <v>58</v>
      </c>
      <c r="V432" s="26">
        <f>IF(I432-Q432=0,"",IF(D432="",(P432+S432)/(I432-Q432),IF(AND(D432&lt;&gt;"",(P432+S432)/(I432-Q432)&gt;=50%),(P432+S432)/(I432-Q432),"")))</f>
        <v>0.9888888888888889</v>
      </c>
      <c r="W432" s="26">
        <f>IF(I432=O432,"",IF(V432="",0,(P432+Q432+S432-O432)/(I432-O432)))</f>
        <v>0.9873417721518988</v>
      </c>
      <c r="X432" s="30"/>
      <c r="Y432" s="30"/>
      <c r="Z432" s="30"/>
      <c r="AA432" s="30"/>
      <c r="AB432" s="34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</row>
    <row r="433" spans="1:41" s="39" customFormat="1" ht="20.25" customHeight="1">
      <c r="A433" s="32"/>
      <c r="B433" s="138" t="s">
        <v>126</v>
      </c>
      <c r="C433" s="105" t="s">
        <v>2</v>
      </c>
      <c r="D433" s="15"/>
      <c r="E433" s="16" t="s">
        <v>27</v>
      </c>
      <c r="F433" s="15"/>
      <c r="G433" s="15"/>
      <c r="H433" s="15"/>
      <c r="I433" s="17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8"/>
      <c r="X433" s="30"/>
      <c r="Y433" s="30"/>
      <c r="Z433" s="30"/>
      <c r="AA433" s="30"/>
      <c r="AB433" s="34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</row>
    <row r="434" spans="1:41" s="39" customFormat="1" ht="20.25" customHeight="1">
      <c r="A434" s="32">
        <v>18</v>
      </c>
      <c r="B434" s="140"/>
      <c r="C434" s="106" t="str">
        <f>IF(A434="","VARA",VLOOKUP(A434,'[1]varas'!$A$4:$B$102,2))</f>
        <v>18ª VT Recife</v>
      </c>
      <c r="D434" s="15"/>
      <c r="E434" s="16"/>
      <c r="F434" s="15">
        <f>38+20+3</f>
        <v>61</v>
      </c>
      <c r="G434" s="15">
        <v>0</v>
      </c>
      <c r="H434" s="15">
        <v>111</v>
      </c>
      <c r="I434" s="17">
        <f>SUM(F434:H434)</f>
        <v>172</v>
      </c>
      <c r="J434" s="15">
        <v>15</v>
      </c>
      <c r="K434" s="15">
        <v>8</v>
      </c>
      <c r="L434" s="15">
        <v>2</v>
      </c>
      <c r="M434" s="15">
        <v>1</v>
      </c>
      <c r="N434" s="15">
        <v>0</v>
      </c>
      <c r="O434" s="15">
        <v>20</v>
      </c>
      <c r="P434" s="15">
        <f>SUM(J434:O434)</f>
        <v>46</v>
      </c>
      <c r="Q434" s="15">
        <v>0</v>
      </c>
      <c r="R434" s="15">
        <v>126</v>
      </c>
      <c r="S434" s="15">
        <v>0</v>
      </c>
      <c r="T434" s="15">
        <v>0</v>
      </c>
      <c r="U434" s="15">
        <v>112</v>
      </c>
      <c r="V434" s="18"/>
      <c r="W434" s="18"/>
      <c r="X434" s="30"/>
      <c r="Y434" s="30"/>
      <c r="Z434" s="30"/>
      <c r="AA434" s="30"/>
      <c r="AB434" s="34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</row>
    <row r="435" spans="1:41" s="39" customFormat="1" ht="17.25" customHeight="1">
      <c r="A435" s="32"/>
      <c r="B435" s="135"/>
      <c r="C435" s="107" t="s">
        <v>12</v>
      </c>
      <c r="D435" s="33"/>
      <c r="E435" s="23"/>
      <c r="F435" s="24">
        <f>SUM(F433:F434)</f>
        <v>61</v>
      </c>
      <c r="G435" s="24">
        <f>SUM(G433:G434)</f>
        <v>0</v>
      </c>
      <c r="H435" s="24">
        <f>SUM(H433:H434)</f>
        <v>111</v>
      </c>
      <c r="I435" s="25">
        <f>SUM(F435:H435)</f>
        <v>172</v>
      </c>
      <c r="J435" s="24">
        <f aca="true" t="shared" si="127" ref="J435:O435">SUM(J433:J434)</f>
        <v>15</v>
      </c>
      <c r="K435" s="24">
        <f t="shared" si="127"/>
        <v>8</v>
      </c>
      <c r="L435" s="24">
        <f t="shared" si="127"/>
        <v>2</v>
      </c>
      <c r="M435" s="24">
        <f t="shared" si="127"/>
        <v>1</v>
      </c>
      <c r="N435" s="24">
        <f t="shared" si="127"/>
        <v>0</v>
      </c>
      <c r="O435" s="24">
        <f t="shared" si="127"/>
        <v>20</v>
      </c>
      <c r="P435" s="24">
        <f>SUM(J435:O435)</f>
        <v>46</v>
      </c>
      <c r="Q435" s="24">
        <f>SUM(Q433:Q434)</f>
        <v>0</v>
      </c>
      <c r="R435" s="24">
        <f>SUM(R433:R434)</f>
        <v>126</v>
      </c>
      <c r="S435" s="24">
        <f>SUM(S433:S434)</f>
        <v>0</v>
      </c>
      <c r="T435" s="24">
        <f>SUM(T433:T434)</f>
        <v>0</v>
      </c>
      <c r="U435" s="24">
        <f>SUM(U433:U434)</f>
        <v>112</v>
      </c>
      <c r="V435" s="26">
        <f>IF(I435-Q435=0,"",IF(D435="",(P435+S435)/(I435-Q435),IF(AND(D435&lt;&gt;"",(P435+S435)/(I435-Q435)&gt;=50%),(P435+S435)/(I435-Q435),"")))</f>
        <v>0.26744186046511625</v>
      </c>
      <c r="W435" s="26">
        <f>IF(I435=O435,"",IF(V435="",0,(P435+Q435+S435-O435)/(I435-O435)))</f>
        <v>0.17105263157894737</v>
      </c>
      <c r="X435" s="30"/>
      <c r="Y435" s="30"/>
      <c r="Z435" s="30"/>
      <c r="AA435" s="30"/>
      <c r="AB435" s="34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</row>
    <row r="436" spans="1:41" s="39" customFormat="1" ht="22.5" customHeight="1">
      <c r="A436" s="32"/>
      <c r="B436" s="130" t="s">
        <v>127</v>
      </c>
      <c r="C436" s="14" t="s">
        <v>2</v>
      </c>
      <c r="D436" s="29"/>
      <c r="E436" s="16" t="s">
        <v>27</v>
      </c>
      <c r="F436" s="15"/>
      <c r="G436" s="15"/>
      <c r="H436" s="15"/>
      <c r="I436" s="17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8"/>
      <c r="X436" s="30"/>
      <c r="Y436" s="30"/>
      <c r="Z436" s="30"/>
      <c r="AA436" s="30"/>
      <c r="AB436" s="34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</row>
    <row r="437" spans="1:41" s="39" customFormat="1" ht="20.25" customHeight="1">
      <c r="A437" s="32">
        <v>48</v>
      </c>
      <c r="B437" s="137"/>
      <c r="C437" s="20" t="str">
        <f>IF(A437="","VARA",VLOOKUP(A437,'[1]varas'!$A$4:$B$102,2))</f>
        <v>VT Catende</v>
      </c>
      <c r="D437" s="29"/>
      <c r="E437" s="16"/>
      <c r="F437" s="15">
        <f>9+42+6+3</f>
        <v>60</v>
      </c>
      <c r="G437" s="15">
        <v>32</v>
      </c>
      <c r="H437" s="15">
        <v>4</v>
      </c>
      <c r="I437" s="17">
        <f>SUM(F437:H437)</f>
        <v>96</v>
      </c>
      <c r="J437" s="15">
        <v>34</v>
      </c>
      <c r="K437" s="15">
        <v>0</v>
      </c>
      <c r="L437" s="15">
        <v>6</v>
      </c>
      <c r="M437" s="15">
        <v>2</v>
      </c>
      <c r="N437" s="15">
        <v>1</v>
      </c>
      <c r="O437" s="15">
        <v>42</v>
      </c>
      <c r="P437" s="15">
        <f>SUM(J437:O437)</f>
        <v>85</v>
      </c>
      <c r="Q437" s="15">
        <v>8</v>
      </c>
      <c r="R437" s="15">
        <v>3</v>
      </c>
      <c r="S437" s="15">
        <v>0</v>
      </c>
      <c r="T437" s="15">
        <v>0</v>
      </c>
      <c r="U437" s="15">
        <v>154</v>
      </c>
      <c r="V437" s="18"/>
      <c r="W437" s="18"/>
      <c r="X437" s="30"/>
      <c r="Y437" s="30"/>
      <c r="Z437" s="30"/>
      <c r="AA437" s="30"/>
      <c r="AB437" s="34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</row>
    <row r="438" spans="1:41" s="39" customFormat="1" ht="25.5" customHeight="1">
      <c r="A438" s="32"/>
      <c r="B438" s="137"/>
      <c r="C438" s="21" t="s">
        <v>12</v>
      </c>
      <c r="D438" s="33"/>
      <c r="E438" s="23"/>
      <c r="F438" s="24">
        <f>SUM(F436:F437)</f>
        <v>60</v>
      </c>
      <c r="G438" s="24">
        <f>SUM(G436:G437)</f>
        <v>32</v>
      </c>
      <c r="H438" s="24">
        <f>SUM(H436:H437)</f>
        <v>4</v>
      </c>
      <c r="I438" s="40">
        <f>SUM(F438:H438)</f>
        <v>96</v>
      </c>
      <c r="J438" s="24">
        <f aca="true" t="shared" si="128" ref="J438:O438">SUM(J436:J437)</f>
        <v>34</v>
      </c>
      <c r="K438" s="24">
        <f t="shared" si="128"/>
        <v>0</v>
      </c>
      <c r="L438" s="24">
        <f t="shared" si="128"/>
        <v>6</v>
      </c>
      <c r="M438" s="24">
        <f t="shared" si="128"/>
        <v>2</v>
      </c>
      <c r="N438" s="24">
        <f t="shared" si="128"/>
        <v>1</v>
      </c>
      <c r="O438" s="24">
        <f t="shared" si="128"/>
        <v>42</v>
      </c>
      <c r="P438" s="24">
        <f>SUM(J438:O438)</f>
        <v>85</v>
      </c>
      <c r="Q438" s="24">
        <f>SUM(Q436:Q437)</f>
        <v>8</v>
      </c>
      <c r="R438" s="24">
        <f>SUM(R436:R437)</f>
        <v>3</v>
      </c>
      <c r="S438" s="24">
        <f>SUM(S436:S437)</f>
        <v>0</v>
      </c>
      <c r="T438" s="24">
        <f>SUM(T436:T437)</f>
        <v>0</v>
      </c>
      <c r="U438" s="24">
        <f>SUM(U436:U437)</f>
        <v>154</v>
      </c>
      <c r="V438" s="26">
        <f>IF(I438-Q438=0,"",IF(D438="",(P438+S438)/(I438-Q438),IF(AND(D438&lt;&gt;"",(P438+S438)/(I438-Q438)&gt;=50%),(P438+S438)/(I438-Q438),"")))</f>
        <v>0.9659090909090909</v>
      </c>
      <c r="W438" s="26">
        <f>IF(I438=O438,"",IF(V438="",0,(P438+Q438+S438-O438)/(I438-O438)))</f>
        <v>0.9444444444444444</v>
      </c>
      <c r="X438" s="30"/>
      <c r="Y438" s="30"/>
      <c r="Z438" s="30"/>
      <c r="AA438" s="30"/>
      <c r="AB438" s="34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</row>
    <row r="439" spans="1:41" s="39" customFormat="1" ht="23.25" customHeight="1">
      <c r="A439" s="32"/>
      <c r="B439" s="130" t="s">
        <v>171</v>
      </c>
      <c r="C439" s="20" t="s">
        <v>156</v>
      </c>
      <c r="D439" s="15"/>
      <c r="E439" s="16" t="s">
        <v>27</v>
      </c>
      <c r="F439" s="15"/>
      <c r="G439" s="15"/>
      <c r="H439" s="15"/>
      <c r="I439" s="17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8"/>
      <c r="X439" s="30"/>
      <c r="Y439" s="30"/>
      <c r="Z439" s="30"/>
      <c r="AA439" s="30"/>
      <c r="AB439" s="34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</row>
    <row r="440" spans="1:41" s="39" customFormat="1" ht="23.25" customHeight="1">
      <c r="A440" s="32">
        <v>6</v>
      </c>
      <c r="B440" s="130"/>
      <c r="C440" s="20" t="str">
        <f>IF(A440="","VARA",VLOOKUP(A440,'[1]varas'!$A$4:$B$102,2))</f>
        <v>6ª VT Recife</v>
      </c>
      <c r="D440" s="15"/>
      <c r="E440" s="16"/>
      <c r="F440" s="15">
        <f>35+11+5+3</f>
        <v>54</v>
      </c>
      <c r="G440" s="15">
        <v>20</v>
      </c>
      <c r="H440" s="15">
        <v>5</v>
      </c>
      <c r="I440" s="17">
        <f>SUM(F440:H440)</f>
        <v>79</v>
      </c>
      <c r="J440" s="15">
        <v>29</v>
      </c>
      <c r="K440" s="15">
        <v>9</v>
      </c>
      <c r="L440" s="15">
        <v>5</v>
      </c>
      <c r="M440" s="15">
        <v>3</v>
      </c>
      <c r="N440" s="15">
        <v>0</v>
      </c>
      <c r="O440" s="15">
        <v>11</v>
      </c>
      <c r="P440" s="15">
        <f>SUM(J440:O440)</f>
        <v>57</v>
      </c>
      <c r="Q440" s="15">
        <v>20</v>
      </c>
      <c r="R440" s="15">
        <v>1</v>
      </c>
      <c r="S440" s="15">
        <v>0</v>
      </c>
      <c r="T440" s="15">
        <v>1</v>
      </c>
      <c r="U440" s="15">
        <v>101</v>
      </c>
      <c r="V440" s="18"/>
      <c r="W440" s="18"/>
      <c r="X440" s="30"/>
      <c r="Y440" s="30"/>
      <c r="Z440" s="30"/>
      <c r="AA440" s="30"/>
      <c r="AB440" s="34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</row>
    <row r="441" spans="1:41" s="39" customFormat="1" ht="22.5" customHeight="1">
      <c r="A441" s="32"/>
      <c r="B441" s="131"/>
      <c r="C441" s="21" t="s">
        <v>12</v>
      </c>
      <c r="D441" s="33"/>
      <c r="E441" s="23"/>
      <c r="F441" s="24">
        <f>SUM(F439:F440)</f>
        <v>54</v>
      </c>
      <c r="G441" s="24">
        <f>SUM(G439:G440)</f>
        <v>20</v>
      </c>
      <c r="H441" s="24">
        <f>SUM(H439:H440)</f>
        <v>5</v>
      </c>
      <c r="I441" s="40">
        <f>SUM(F441:H441)</f>
        <v>79</v>
      </c>
      <c r="J441" s="24">
        <f aca="true" t="shared" si="129" ref="J441:O441">SUM(J439:J440)</f>
        <v>29</v>
      </c>
      <c r="K441" s="24">
        <f t="shared" si="129"/>
        <v>9</v>
      </c>
      <c r="L441" s="24">
        <f t="shared" si="129"/>
        <v>5</v>
      </c>
      <c r="M441" s="24">
        <f t="shared" si="129"/>
        <v>3</v>
      </c>
      <c r="N441" s="24">
        <f t="shared" si="129"/>
        <v>0</v>
      </c>
      <c r="O441" s="24">
        <f t="shared" si="129"/>
        <v>11</v>
      </c>
      <c r="P441" s="24">
        <f>SUM(J441:O441)</f>
        <v>57</v>
      </c>
      <c r="Q441" s="24">
        <f>SUM(Q439:Q440)</f>
        <v>20</v>
      </c>
      <c r="R441" s="24">
        <f>SUM(R439:R440)</f>
        <v>1</v>
      </c>
      <c r="S441" s="24">
        <f>SUM(S439:S440)</f>
        <v>0</v>
      </c>
      <c r="T441" s="24">
        <f>SUM(T439:T440)</f>
        <v>1</v>
      </c>
      <c r="U441" s="24">
        <f>SUM(U439:U440)</f>
        <v>101</v>
      </c>
      <c r="V441" s="26">
        <f>IF(I441-Q441=0,"",IF(D441="",(P441+S441)/(I441-Q441),IF(AND(D441&lt;&gt;"",(P441+S441)/(I441-Q441)&gt;=50%),(P441+S441)/(I441-Q441),"")))</f>
        <v>0.9661016949152542</v>
      </c>
      <c r="W441" s="26">
        <f>IF(I441=O441,"",IF(V441="",0,(P441+Q441+S441-O441)/(I441-O441)))</f>
        <v>0.9705882352941176</v>
      </c>
      <c r="X441" s="30"/>
      <c r="Y441" s="30"/>
      <c r="Z441" s="30"/>
      <c r="AA441" s="30"/>
      <c r="AB441" s="34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</row>
    <row r="442" spans="1:41" s="39" customFormat="1" ht="22.5" customHeight="1">
      <c r="A442" s="32"/>
      <c r="B442" s="138" t="s">
        <v>128</v>
      </c>
      <c r="C442" s="105" t="s">
        <v>154</v>
      </c>
      <c r="D442" s="29" t="s">
        <v>30</v>
      </c>
      <c r="E442" s="16" t="s">
        <v>197</v>
      </c>
      <c r="F442" s="15"/>
      <c r="G442" s="15"/>
      <c r="H442" s="15"/>
      <c r="I442" s="17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8"/>
      <c r="X442" s="30"/>
      <c r="Y442" s="30"/>
      <c r="Z442" s="30"/>
      <c r="AA442" s="30"/>
      <c r="AB442" s="34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</row>
    <row r="443" spans="1:41" s="39" customFormat="1" ht="22.5" customHeight="1">
      <c r="A443" s="32">
        <v>11</v>
      </c>
      <c r="B443" s="140"/>
      <c r="C443" s="106" t="str">
        <f>IF(A443="","VARA",VLOOKUP(A443,'[1]varas'!$A$4:$B$102,2))</f>
        <v>11ª VT Recife</v>
      </c>
      <c r="D443" s="15"/>
      <c r="E443" s="16"/>
      <c r="F443" s="15">
        <v>0</v>
      </c>
      <c r="G443" s="15">
        <v>0</v>
      </c>
      <c r="H443" s="15">
        <v>4</v>
      </c>
      <c r="I443" s="17">
        <f>SUM(F443:H443)</f>
        <v>4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f>SUM(J443:O443)</f>
        <v>0</v>
      </c>
      <c r="Q443" s="15">
        <v>0</v>
      </c>
      <c r="R443" s="15">
        <v>4</v>
      </c>
      <c r="S443" s="15">
        <v>0</v>
      </c>
      <c r="T443" s="15">
        <v>0</v>
      </c>
      <c r="U443" s="15">
        <v>0</v>
      </c>
      <c r="V443" s="18"/>
      <c r="W443" s="18"/>
      <c r="X443" s="30"/>
      <c r="Y443" s="30"/>
      <c r="Z443" s="30"/>
      <c r="AA443" s="30"/>
      <c r="AB443" s="34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</row>
    <row r="444" spans="1:41" s="39" customFormat="1" ht="24" customHeight="1">
      <c r="A444" s="32">
        <v>57</v>
      </c>
      <c r="B444" s="139"/>
      <c r="C444" s="106" t="str">
        <f>IF(A444="","VARA",VLOOKUP(A444,'[1]varas'!$A$4:$B$102,2))</f>
        <v>VT S. Lourenço </v>
      </c>
      <c r="D444" s="15"/>
      <c r="E444" s="16"/>
      <c r="F444" s="15">
        <v>1</v>
      </c>
      <c r="G444" s="15">
        <v>9</v>
      </c>
      <c r="H444" s="15">
        <v>0</v>
      </c>
      <c r="I444" s="17">
        <f>SUM(F444:H444)</f>
        <v>10</v>
      </c>
      <c r="J444" s="15">
        <v>8</v>
      </c>
      <c r="K444" s="15">
        <v>0</v>
      </c>
      <c r="L444" s="15">
        <v>0</v>
      </c>
      <c r="M444" s="15">
        <v>0</v>
      </c>
      <c r="N444" s="15">
        <v>0</v>
      </c>
      <c r="O444" s="15">
        <v>1</v>
      </c>
      <c r="P444" s="15">
        <f>SUM(J444:O444)</f>
        <v>9</v>
      </c>
      <c r="Q444" s="15">
        <v>1</v>
      </c>
      <c r="R444" s="15">
        <v>0</v>
      </c>
      <c r="S444" s="15">
        <v>0</v>
      </c>
      <c r="T444" s="15">
        <v>0</v>
      </c>
      <c r="U444" s="15">
        <v>0</v>
      </c>
      <c r="V444" s="18"/>
      <c r="W444" s="18"/>
      <c r="X444" s="30"/>
      <c r="Y444" s="30"/>
      <c r="Z444" s="30"/>
      <c r="AA444" s="30"/>
      <c r="AB444" s="34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</row>
    <row r="445" spans="1:41" s="39" customFormat="1" ht="20.25" customHeight="1">
      <c r="A445" s="32"/>
      <c r="B445" s="135"/>
      <c r="C445" s="107" t="s">
        <v>12</v>
      </c>
      <c r="D445" s="33"/>
      <c r="E445" s="23"/>
      <c r="F445" s="24">
        <f>SUM(F442:F444)</f>
        <v>1</v>
      </c>
      <c r="G445" s="24">
        <f>SUM(G442:G444)</f>
        <v>9</v>
      </c>
      <c r="H445" s="24">
        <f>SUM(H442:H444)</f>
        <v>4</v>
      </c>
      <c r="I445" s="25">
        <f>SUM(F445:H445)</f>
        <v>14</v>
      </c>
      <c r="J445" s="24">
        <f aca="true" t="shared" si="130" ref="J445:O445">SUM(J442:J444)</f>
        <v>8</v>
      </c>
      <c r="K445" s="24">
        <f t="shared" si="130"/>
        <v>0</v>
      </c>
      <c r="L445" s="24">
        <f t="shared" si="130"/>
        <v>0</v>
      </c>
      <c r="M445" s="24">
        <f t="shared" si="130"/>
        <v>0</v>
      </c>
      <c r="N445" s="24">
        <f t="shared" si="130"/>
        <v>0</v>
      </c>
      <c r="O445" s="24">
        <f t="shared" si="130"/>
        <v>1</v>
      </c>
      <c r="P445" s="24">
        <f>SUM(J445:O445)</f>
        <v>9</v>
      </c>
      <c r="Q445" s="24">
        <f>SUM(Q442:Q444)</f>
        <v>1</v>
      </c>
      <c r="R445" s="24">
        <f>SUM(R442:R444)</f>
        <v>4</v>
      </c>
      <c r="S445" s="24">
        <f>SUM(S442:S444)</f>
        <v>0</v>
      </c>
      <c r="T445" s="24">
        <f>SUM(T442:T444)</f>
        <v>0</v>
      </c>
      <c r="U445" s="24">
        <f>SUM(U442:U444)</f>
        <v>0</v>
      </c>
      <c r="V445" s="26">
        <f>IF(I445-Q445=0,"",IF(D445="",(P445+S445)/(I445-Q445),IF(AND(D445&lt;&gt;"",(P445+S445)/(I445-Q445)&gt;=50%),(P445+S445)/(I445-Q445),"")))</f>
        <v>0.6923076923076923</v>
      </c>
      <c r="W445" s="26">
        <f>IF(I445=O445,"",IF(V445="",0,(P445+Q445+S445-O445)/(I445-O445)))</f>
        <v>0.6923076923076923</v>
      </c>
      <c r="X445" s="30"/>
      <c r="Y445" s="30"/>
      <c r="Z445" s="30"/>
      <c r="AA445" s="30"/>
      <c r="AB445" s="34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</row>
    <row r="446" spans="1:41" s="39" customFormat="1" ht="23.25" customHeight="1">
      <c r="A446" s="32"/>
      <c r="B446" s="138" t="s">
        <v>129</v>
      </c>
      <c r="C446" s="105" t="s">
        <v>2</v>
      </c>
      <c r="D446" s="29" t="s">
        <v>158</v>
      </c>
      <c r="E446" s="16" t="s">
        <v>175</v>
      </c>
      <c r="F446" s="15"/>
      <c r="G446" s="15"/>
      <c r="H446" s="15"/>
      <c r="I446" s="17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8"/>
      <c r="X446" s="30"/>
      <c r="Y446" s="30"/>
      <c r="Z446" s="30"/>
      <c r="AA446" s="30"/>
      <c r="AB446" s="34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</row>
    <row r="447" spans="1:41" s="39" customFormat="1" ht="18" customHeight="1">
      <c r="A447" s="32">
        <v>51</v>
      </c>
      <c r="B447" s="139"/>
      <c r="C447" s="106" t="str">
        <f>IF(A447="","VARA",VLOOKUP(A447,'[1]varas'!$A$4:$B$102,2))</f>
        <v>VT Goiana</v>
      </c>
      <c r="D447" s="15"/>
      <c r="E447" s="16"/>
      <c r="F447" s="15">
        <v>0</v>
      </c>
      <c r="G447" s="15">
        <v>0</v>
      </c>
      <c r="H447" s="15">
        <v>0</v>
      </c>
      <c r="I447" s="17">
        <f>SUM(F447:H447)</f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f>SUM(J447:O447)</f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8"/>
      <c r="W447" s="18"/>
      <c r="X447" s="30"/>
      <c r="Y447" s="30"/>
      <c r="Z447" s="30"/>
      <c r="AA447" s="30"/>
      <c r="AB447" s="34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</row>
    <row r="448" spans="1:41" s="39" customFormat="1" ht="24.75" customHeight="1">
      <c r="A448" s="32"/>
      <c r="B448" s="135"/>
      <c r="C448" s="107" t="s">
        <v>12</v>
      </c>
      <c r="D448" s="33"/>
      <c r="E448" s="23"/>
      <c r="F448" s="24">
        <f>SUM(F446:F447)</f>
        <v>0</v>
      </c>
      <c r="G448" s="24">
        <f>SUM(G446:G447)</f>
        <v>0</v>
      </c>
      <c r="H448" s="24">
        <f>SUM(H446:H447)</f>
        <v>0</v>
      </c>
      <c r="I448" s="25">
        <f>SUM(F448:H448)</f>
        <v>0</v>
      </c>
      <c r="J448" s="24">
        <f aca="true" t="shared" si="131" ref="J448:O448">SUM(J446:J447)</f>
        <v>0</v>
      </c>
      <c r="K448" s="24">
        <f t="shared" si="131"/>
        <v>0</v>
      </c>
      <c r="L448" s="24">
        <f t="shared" si="131"/>
        <v>0</v>
      </c>
      <c r="M448" s="24">
        <f t="shared" si="131"/>
        <v>0</v>
      </c>
      <c r="N448" s="24">
        <f t="shared" si="131"/>
        <v>0</v>
      </c>
      <c r="O448" s="24">
        <f t="shared" si="131"/>
        <v>0</v>
      </c>
      <c r="P448" s="24">
        <f>SUM(J448:O448)</f>
        <v>0</v>
      </c>
      <c r="Q448" s="24">
        <f>SUM(Q446:Q447)</f>
        <v>0</v>
      </c>
      <c r="R448" s="24">
        <f>SUM(R446:R447)</f>
        <v>0</v>
      </c>
      <c r="S448" s="24">
        <f>SUM(S446:S447)</f>
        <v>0</v>
      </c>
      <c r="T448" s="24">
        <f>SUM(T446:T447)</f>
        <v>0</v>
      </c>
      <c r="U448" s="24">
        <f>SUM(U446:U447)</f>
        <v>0</v>
      </c>
      <c r="V448" s="26">
        <f>IF(I448-Q448=0,"",IF(D448="",(P448+S448)/(I448-Q448),IF(AND(D448&lt;&gt;"",(P448+S448)/(I448-Q448)&gt;=50%),(P448+S448)/(I448-Q448),"")))</f>
      </c>
      <c r="W448" s="26">
        <f>IF(I448=O448,"",IF(V448="",0,(P448+Q448+S448-O448)/(I448-O448)))</f>
      </c>
      <c r="X448" s="30"/>
      <c r="Y448" s="30"/>
      <c r="Z448" s="30"/>
      <c r="AA448" s="30"/>
      <c r="AB448" s="34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</row>
    <row r="449" spans="1:41" s="39" customFormat="1" ht="20.25" customHeight="1">
      <c r="A449" s="32"/>
      <c r="B449" s="116" t="s">
        <v>189</v>
      </c>
      <c r="C449" s="109" t="s">
        <v>154</v>
      </c>
      <c r="D449" s="90"/>
      <c r="E449" s="91" t="s">
        <v>27</v>
      </c>
      <c r="F449" s="113"/>
      <c r="G449" s="113"/>
      <c r="H449" s="113"/>
      <c r="I449" s="93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4"/>
      <c r="W449" s="94"/>
      <c r="X449" s="30"/>
      <c r="Y449" s="30"/>
      <c r="Z449" s="30"/>
      <c r="AA449" s="30"/>
      <c r="AB449" s="34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</row>
    <row r="450" spans="1:41" s="39" customFormat="1" ht="20.25" customHeight="1">
      <c r="A450" s="32">
        <v>65</v>
      </c>
      <c r="B450" s="117"/>
      <c r="C450" s="106" t="str">
        <f>IF(A450="","VARA",VLOOKUP(A450,'[1]varas'!$A$4:$B$102,2))</f>
        <v>3ª VT Ipojuca</v>
      </c>
      <c r="D450" s="15"/>
      <c r="E450" s="16"/>
      <c r="F450" s="92">
        <f>37+17+4</f>
        <v>58</v>
      </c>
      <c r="G450" s="92">
        <v>15</v>
      </c>
      <c r="H450" s="92">
        <v>0</v>
      </c>
      <c r="I450" s="93">
        <f>SUM(F450:H450)</f>
        <v>73</v>
      </c>
      <c r="J450" s="92">
        <v>45</v>
      </c>
      <c r="K450" s="92">
        <v>0</v>
      </c>
      <c r="L450" s="92">
        <v>4</v>
      </c>
      <c r="M450" s="92">
        <v>0</v>
      </c>
      <c r="N450" s="92">
        <v>0</v>
      </c>
      <c r="O450" s="92">
        <v>17</v>
      </c>
      <c r="P450" s="92">
        <f>SUM(J450:O450)</f>
        <v>66</v>
      </c>
      <c r="Q450" s="92">
        <v>7</v>
      </c>
      <c r="R450" s="92">
        <v>0</v>
      </c>
      <c r="S450" s="92">
        <v>0</v>
      </c>
      <c r="T450" s="92">
        <v>0</v>
      </c>
      <c r="U450" s="92">
        <v>187</v>
      </c>
      <c r="V450" s="94"/>
      <c r="W450" s="94"/>
      <c r="X450" s="30"/>
      <c r="Y450" s="30"/>
      <c r="Z450" s="30"/>
      <c r="AA450" s="30"/>
      <c r="AB450" s="34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</row>
    <row r="451" spans="1:41" s="39" customFormat="1" ht="20.25" customHeight="1">
      <c r="A451" s="32"/>
      <c r="B451" s="118"/>
      <c r="C451" s="114" t="s">
        <v>12</v>
      </c>
      <c r="D451" s="97"/>
      <c r="E451" s="98"/>
      <c r="F451" s="99">
        <f>SUM(F449:F450)</f>
        <v>58</v>
      </c>
      <c r="G451" s="99">
        <f>SUM(G449:G450)</f>
        <v>15</v>
      </c>
      <c r="H451" s="99">
        <f>SUM(H449:H450)</f>
        <v>0</v>
      </c>
      <c r="I451" s="100">
        <f>SUM(F451:H451)</f>
        <v>73</v>
      </c>
      <c r="J451" s="99">
        <f aca="true" t="shared" si="132" ref="J451:O451">SUM(J449:J450)</f>
        <v>45</v>
      </c>
      <c r="K451" s="99">
        <f t="shared" si="132"/>
        <v>0</v>
      </c>
      <c r="L451" s="99">
        <f t="shared" si="132"/>
        <v>4</v>
      </c>
      <c r="M451" s="99">
        <f t="shared" si="132"/>
        <v>0</v>
      </c>
      <c r="N451" s="99">
        <f t="shared" si="132"/>
        <v>0</v>
      </c>
      <c r="O451" s="99">
        <f t="shared" si="132"/>
        <v>17</v>
      </c>
      <c r="P451" s="99">
        <f>SUM(J451:O451)</f>
        <v>66</v>
      </c>
      <c r="Q451" s="99">
        <f>SUM(Q449:Q450)</f>
        <v>7</v>
      </c>
      <c r="R451" s="99">
        <f>SUM(R449:R450)</f>
        <v>0</v>
      </c>
      <c r="S451" s="99">
        <f>SUM(S449:S450)</f>
        <v>0</v>
      </c>
      <c r="T451" s="99">
        <f>SUM(T449:T450)</f>
        <v>0</v>
      </c>
      <c r="U451" s="99">
        <f>SUM(U449:U450)</f>
        <v>187</v>
      </c>
      <c r="V451" s="101">
        <f>IF(I451-Q451=0,"",IF(D451="",(P451+S451)/(I451-Q451),IF(AND(D451&lt;&gt;"",(P451+S451)/(I451-Q451)&gt;=50%),(P451+S451)/(I451-Q451),"")))</f>
        <v>1</v>
      </c>
      <c r="W451" s="101">
        <f>IF(I451=O451,"",IF(V451="",0,(P451+Q451+S451-O451)/(I451-O451)))</f>
        <v>1</v>
      </c>
      <c r="X451" s="30"/>
      <c r="Y451" s="30"/>
      <c r="Z451" s="30"/>
      <c r="AA451" s="30"/>
      <c r="AB451" s="34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</row>
    <row r="452" spans="1:41" s="39" customFormat="1" ht="18.75" customHeight="1">
      <c r="A452" s="32"/>
      <c r="B452" s="130" t="s">
        <v>130</v>
      </c>
      <c r="C452" s="14" t="s">
        <v>2</v>
      </c>
      <c r="D452" s="29"/>
      <c r="E452" s="16" t="s">
        <v>27</v>
      </c>
      <c r="F452" s="15"/>
      <c r="G452" s="15"/>
      <c r="H452" s="15"/>
      <c r="I452" s="17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8"/>
      <c r="X452" s="30"/>
      <c r="Y452" s="30"/>
      <c r="Z452" s="30"/>
      <c r="AA452" s="30"/>
      <c r="AB452" s="34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</row>
    <row r="453" spans="1:41" s="39" customFormat="1" ht="18.75" customHeight="1">
      <c r="A453" s="32">
        <v>17</v>
      </c>
      <c r="B453" s="137"/>
      <c r="C453" s="20" t="str">
        <f>IF(A453="","VARA",VLOOKUP(A453,'[1]varas'!$A$4:$B$102,2))</f>
        <v>17ª VT Recife</v>
      </c>
      <c r="D453" s="29"/>
      <c r="E453" s="16"/>
      <c r="F453" s="15">
        <f>61+27+11+4</f>
        <v>103</v>
      </c>
      <c r="G453" s="15">
        <v>0</v>
      </c>
      <c r="H453" s="15">
        <v>0</v>
      </c>
      <c r="I453" s="17">
        <f>SUM(F453:H453)</f>
        <v>103</v>
      </c>
      <c r="J453" s="15">
        <v>40</v>
      </c>
      <c r="K453" s="15">
        <v>11</v>
      </c>
      <c r="L453" s="15">
        <v>11</v>
      </c>
      <c r="M453" s="15">
        <v>4</v>
      </c>
      <c r="N453" s="15">
        <v>0</v>
      </c>
      <c r="O453" s="15">
        <v>27</v>
      </c>
      <c r="P453" s="15">
        <f>SUM(J453:O453)</f>
        <v>93</v>
      </c>
      <c r="Q453" s="15">
        <v>10</v>
      </c>
      <c r="R453" s="15">
        <v>0</v>
      </c>
      <c r="S453" s="15">
        <v>0</v>
      </c>
      <c r="T453" s="15">
        <v>0</v>
      </c>
      <c r="U453" s="15">
        <v>79</v>
      </c>
      <c r="V453" s="18"/>
      <c r="W453" s="18"/>
      <c r="X453" s="30"/>
      <c r="Y453" s="30"/>
      <c r="Z453" s="30"/>
      <c r="AA453" s="30"/>
      <c r="AB453" s="34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</row>
    <row r="454" spans="1:41" s="39" customFormat="1" ht="21.75" customHeight="1">
      <c r="A454" s="32"/>
      <c r="B454" s="152"/>
      <c r="C454" s="21" t="s">
        <v>12</v>
      </c>
      <c r="D454" s="33"/>
      <c r="E454" s="23"/>
      <c r="F454" s="24">
        <f>SUM(F452:F453)</f>
        <v>103</v>
      </c>
      <c r="G454" s="24">
        <f>SUM(G452:G453)</f>
        <v>0</v>
      </c>
      <c r="H454" s="24">
        <f>SUM(H452:H453)</f>
        <v>0</v>
      </c>
      <c r="I454" s="25">
        <f>SUM(F454:H454)</f>
        <v>103</v>
      </c>
      <c r="J454" s="24">
        <f aca="true" t="shared" si="133" ref="J454:O454">SUM(J452:J453)</f>
        <v>40</v>
      </c>
      <c r="K454" s="24">
        <f t="shared" si="133"/>
        <v>11</v>
      </c>
      <c r="L454" s="24">
        <f t="shared" si="133"/>
        <v>11</v>
      </c>
      <c r="M454" s="24">
        <f t="shared" si="133"/>
        <v>4</v>
      </c>
      <c r="N454" s="24">
        <f t="shared" si="133"/>
        <v>0</v>
      </c>
      <c r="O454" s="24">
        <f t="shared" si="133"/>
        <v>27</v>
      </c>
      <c r="P454" s="24">
        <f>SUM(J454:O454)</f>
        <v>93</v>
      </c>
      <c r="Q454" s="24">
        <f>SUM(Q452:Q453)</f>
        <v>10</v>
      </c>
      <c r="R454" s="24">
        <f>SUM(R452:R453)</f>
        <v>0</v>
      </c>
      <c r="S454" s="24">
        <f>SUM(S452:S453)</f>
        <v>0</v>
      </c>
      <c r="T454" s="24">
        <f>SUM(T452:T453)</f>
        <v>0</v>
      </c>
      <c r="U454" s="24">
        <f>SUM(U452:U453)</f>
        <v>79</v>
      </c>
      <c r="V454" s="26">
        <f>IF(I454-Q454=0,"",IF(D454="",(P454+S454)/(I454-Q454),IF(AND(D454&lt;&gt;"",(P454+S454)/(I454-Q454)&gt;=50%),(P454+S454)/(I454-Q454),"")))</f>
        <v>1</v>
      </c>
      <c r="W454" s="26">
        <f>IF(I454=O454,"",IF(V454="",0,(P454+Q454+S454-O454)/(I454-O454)))</f>
        <v>1</v>
      </c>
      <c r="X454" s="30"/>
      <c r="Y454" s="30"/>
      <c r="Z454" s="30"/>
      <c r="AA454" s="30"/>
      <c r="AB454" s="34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</row>
    <row r="455" spans="1:41" s="39" customFormat="1" ht="21.75" customHeight="1">
      <c r="A455" s="32"/>
      <c r="B455" s="138" t="s">
        <v>131</v>
      </c>
      <c r="C455" s="105" t="s">
        <v>2</v>
      </c>
      <c r="D455" s="29" t="s">
        <v>30</v>
      </c>
      <c r="E455" s="16" t="s">
        <v>193</v>
      </c>
      <c r="F455" s="15"/>
      <c r="G455" s="15"/>
      <c r="H455" s="15"/>
      <c r="I455" s="17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8"/>
      <c r="X455" s="30"/>
      <c r="Y455" s="30"/>
      <c r="Z455" s="30"/>
      <c r="AA455" s="30"/>
      <c r="AB455" s="34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</row>
    <row r="456" spans="1:41" s="39" customFormat="1" ht="18" customHeight="1">
      <c r="A456" s="32">
        <v>51</v>
      </c>
      <c r="B456" s="139"/>
      <c r="C456" s="106" t="str">
        <f>IF(A456="","VARA",VLOOKUP(A456,'[1]varas'!$A$4:$B$102,2))</f>
        <v>VT Goiana</v>
      </c>
      <c r="D456" s="15"/>
      <c r="E456" s="16"/>
      <c r="F456" s="15">
        <f>42+35+4+6</f>
        <v>87</v>
      </c>
      <c r="G456" s="15">
        <v>9</v>
      </c>
      <c r="H456" s="15">
        <v>0</v>
      </c>
      <c r="I456" s="17">
        <f>SUM(F456:H456)</f>
        <v>96</v>
      </c>
      <c r="J456" s="15">
        <v>19</v>
      </c>
      <c r="K456" s="15">
        <v>16</v>
      </c>
      <c r="L456" s="15">
        <v>4</v>
      </c>
      <c r="M456" s="15">
        <v>6</v>
      </c>
      <c r="N456" s="15">
        <v>0</v>
      </c>
      <c r="O456" s="15">
        <v>35</v>
      </c>
      <c r="P456" s="15">
        <f>SUM(J456:O456)</f>
        <v>80</v>
      </c>
      <c r="Q456" s="15">
        <v>16</v>
      </c>
      <c r="R456" s="15">
        <v>0</v>
      </c>
      <c r="S456" s="15">
        <v>0</v>
      </c>
      <c r="T456" s="15">
        <v>0</v>
      </c>
      <c r="U456" s="15">
        <v>193</v>
      </c>
      <c r="V456" s="18"/>
      <c r="W456" s="18"/>
      <c r="X456" s="30"/>
      <c r="Y456" s="30"/>
      <c r="Z456" s="30"/>
      <c r="AA456" s="30"/>
      <c r="AB456" s="34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</row>
    <row r="457" spans="1:41" s="39" customFormat="1" ht="18" customHeight="1">
      <c r="A457" s="32"/>
      <c r="B457" s="135"/>
      <c r="C457" s="107" t="s">
        <v>12</v>
      </c>
      <c r="D457" s="33"/>
      <c r="E457" s="23"/>
      <c r="F457" s="24">
        <f>SUM(F455:F456)</f>
        <v>87</v>
      </c>
      <c r="G457" s="24">
        <f>SUM(G455:G456)</f>
        <v>9</v>
      </c>
      <c r="H457" s="24">
        <f>SUM(H455:H456)</f>
        <v>0</v>
      </c>
      <c r="I457" s="40">
        <f>SUM(F457:H457)</f>
        <v>96</v>
      </c>
      <c r="J457" s="24">
        <f aca="true" t="shared" si="134" ref="J457:O457">SUM(J455:J456)</f>
        <v>19</v>
      </c>
      <c r="K457" s="24">
        <f t="shared" si="134"/>
        <v>16</v>
      </c>
      <c r="L457" s="24">
        <f t="shared" si="134"/>
        <v>4</v>
      </c>
      <c r="M457" s="24">
        <f t="shared" si="134"/>
        <v>6</v>
      </c>
      <c r="N457" s="24">
        <f t="shared" si="134"/>
        <v>0</v>
      </c>
      <c r="O457" s="24">
        <f t="shared" si="134"/>
        <v>35</v>
      </c>
      <c r="P457" s="24">
        <f>SUM(J457:O457)</f>
        <v>80</v>
      </c>
      <c r="Q457" s="24">
        <f>SUM(Q455:Q456)</f>
        <v>16</v>
      </c>
      <c r="R457" s="24">
        <f>SUM(R455:R456)</f>
        <v>0</v>
      </c>
      <c r="S457" s="24">
        <f>SUM(S455:S456)</f>
        <v>0</v>
      </c>
      <c r="T457" s="24">
        <f>SUM(T455:T456)</f>
        <v>0</v>
      </c>
      <c r="U457" s="24">
        <f>SUM(U455:U456)</f>
        <v>193</v>
      </c>
      <c r="V457" s="26">
        <f>IF(I457-Q457=0,"",IF(D457="",(P457+S457)/(I457-Q457),IF(AND(D457&lt;&gt;"",(P457+S457)/(I457-Q457)&gt;=50%),(P457+S457)/(I457-Q457),"")))</f>
        <v>1</v>
      </c>
      <c r="W457" s="26">
        <f>IF(I457=O457,"",IF(V457="",0,(P457+Q457+S457-O457)/(I457-O457)))</f>
        <v>1</v>
      </c>
      <c r="X457" s="30"/>
      <c r="Y457" s="30"/>
      <c r="Z457" s="30"/>
      <c r="AA457" s="30"/>
      <c r="AB457" s="34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</row>
    <row r="458" spans="1:41" s="39" customFormat="1" ht="13.5" customHeight="1">
      <c r="A458" s="32"/>
      <c r="B458" s="108"/>
      <c r="C458" s="81"/>
      <c r="D458" s="82"/>
      <c r="E458" s="83"/>
      <c r="F458" s="84"/>
      <c r="G458" s="84"/>
      <c r="H458" s="84"/>
      <c r="I458" s="85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6"/>
      <c r="W458" s="86"/>
      <c r="X458" s="30"/>
      <c r="Y458" s="30"/>
      <c r="Z458" s="30"/>
      <c r="AA458" s="30"/>
      <c r="AB458" s="34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</row>
    <row r="459" spans="1:41" s="39" customFormat="1" ht="13.5" customHeight="1">
      <c r="A459" s="32"/>
      <c r="B459" s="104" t="s">
        <v>231</v>
      </c>
      <c r="C459" s="81"/>
      <c r="D459" s="82"/>
      <c r="E459" s="83"/>
      <c r="F459" s="84"/>
      <c r="G459" s="84"/>
      <c r="H459" s="84"/>
      <c r="I459" s="85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6"/>
      <c r="W459" s="86"/>
      <c r="X459" s="30"/>
      <c r="Y459" s="30"/>
      <c r="Z459" s="30"/>
      <c r="AA459" s="30"/>
      <c r="AB459" s="34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</row>
    <row r="460" spans="1:41" s="39" customFormat="1" ht="17.25" customHeight="1">
      <c r="A460" s="32"/>
      <c r="B460" s="104" t="s">
        <v>232</v>
      </c>
      <c r="C460" s="81"/>
      <c r="D460" s="82"/>
      <c r="E460" s="83"/>
      <c r="F460" s="84"/>
      <c r="G460" s="84"/>
      <c r="H460" s="84"/>
      <c r="I460" s="85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6"/>
      <c r="W460" s="86"/>
      <c r="X460" s="30"/>
      <c r="Y460" s="30"/>
      <c r="Z460" s="30"/>
      <c r="AA460" s="30"/>
      <c r="AB460" s="34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</row>
    <row r="461" spans="1:41" s="39" customFormat="1" ht="17.25" customHeight="1">
      <c r="A461" s="32"/>
      <c r="B461" s="104" t="s">
        <v>225</v>
      </c>
      <c r="C461" s="81"/>
      <c r="D461" s="82"/>
      <c r="E461" s="83"/>
      <c r="F461" s="84"/>
      <c r="G461" s="84"/>
      <c r="H461" s="84"/>
      <c r="I461" s="85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6"/>
      <c r="W461" s="86"/>
      <c r="X461" s="30"/>
      <c r="Y461" s="30"/>
      <c r="Z461" s="30"/>
      <c r="AA461" s="30"/>
      <c r="AB461" s="34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</row>
    <row r="462" spans="1:41" s="39" customFormat="1" ht="17.25" customHeight="1">
      <c r="A462" s="32"/>
      <c r="B462" s="104" t="s">
        <v>226</v>
      </c>
      <c r="C462" s="81"/>
      <c r="D462" s="82"/>
      <c r="E462" s="83"/>
      <c r="F462" s="84"/>
      <c r="G462" s="84"/>
      <c r="H462" s="84"/>
      <c r="I462" s="85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6"/>
      <c r="W462" s="86"/>
      <c r="X462" s="30"/>
      <c r="Y462" s="30"/>
      <c r="Z462" s="30"/>
      <c r="AA462" s="30"/>
      <c r="AB462" s="34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</row>
    <row r="463" spans="1:41" s="39" customFormat="1" ht="17.25" customHeight="1">
      <c r="A463" s="32"/>
      <c r="B463" s="104"/>
      <c r="C463" s="81"/>
      <c r="D463" s="82"/>
      <c r="E463" s="83"/>
      <c r="F463" s="84"/>
      <c r="G463" s="84"/>
      <c r="H463" s="84"/>
      <c r="I463" s="85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6"/>
      <c r="W463" s="86"/>
      <c r="X463" s="30"/>
      <c r="Y463" s="30"/>
      <c r="Z463" s="30"/>
      <c r="AA463" s="30"/>
      <c r="AB463" s="34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</row>
    <row r="464" spans="1:41" s="39" customFormat="1" ht="14.25" customHeight="1" thickBot="1">
      <c r="A464" s="32"/>
      <c r="B464" s="112"/>
      <c r="C464" s="81"/>
      <c r="D464" s="82"/>
      <c r="E464" s="83"/>
      <c r="F464" s="84"/>
      <c r="G464" s="84"/>
      <c r="H464" s="84"/>
      <c r="I464" s="85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6"/>
      <c r="W464" s="86"/>
      <c r="X464" s="30"/>
      <c r="Y464" s="30"/>
      <c r="Z464" s="30"/>
      <c r="AA464" s="30"/>
      <c r="AB464" s="34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</row>
    <row r="465" spans="2:23" ht="12" customHeight="1">
      <c r="B465" s="54" t="s">
        <v>132</v>
      </c>
      <c r="C465" s="55"/>
      <c r="D465" s="56"/>
      <c r="E465" s="57"/>
      <c r="F465" s="57" t="s">
        <v>133</v>
      </c>
      <c r="G465" s="58"/>
      <c r="H465" s="56"/>
      <c r="I465" s="56"/>
      <c r="J465" s="56"/>
      <c r="K465" s="59" t="s">
        <v>134</v>
      </c>
      <c r="L465" s="56"/>
      <c r="M465" s="56"/>
      <c r="N465" s="56"/>
      <c r="O465" s="59"/>
      <c r="P465" s="59" t="s">
        <v>135</v>
      </c>
      <c r="Q465" s="56"/>
      <c r="R465" s="56"/>
      <c r="S465" s="59"/>
      <c r="T465" s="59" t="s">
        <v>153</v>
      </c>
      <c r="U465" s="59"/>
      <c r="V465" s="59"/>
      <c r="W465" s="60"/>
    </row>
    <row r="466" spans="2:23" ht="12" customHeight="1">
      <c r="B466" s="61" t="s">
        <v>136</v>
      </c>
      <c r="F466" s="62" t="s">
        <v>137</v>
      </c>
      <c r="G466" s="2"/>
      <c r="K466" s="62" t="s">
        <v>138</v>
      </c>
      <c r="O466" s="62"/>
      <c r="P466" s="62" t="s">
        <v>139</v>
      </c>
      <c r="Q466" s="1"/>
      <c r="R466" s="1"/>
      <c r="S466" s="62"/>
      <c r="T466" s="62" t="s">
        <v>157</v>
      </c>
      <c r="U466" s="62"/>
      <c r="W466" s="63"/>
    </row>
    <row r="467" spans="1:41" s="62" customFormat="1" ht="12" customHeight="1">
      <c r="A467" s="1"/>
      <c r="B467" s="61" t="s">
        <v>140</v>
      </c>
      <c r="C467" s="3"/>
      <c r="D467" s="1"/>
      <c r="F467" s="62" t="s">
        <v>141</v>
      </c>
      <c r="G467" s="2"/>
      <c r="H467" s="1"/>
      <c r="K467" s="62" t="s">
        <v>142</v>
      </c>
      <c r="L467" s="1"/>
      <c r="M467" s="1"/>
      <c r="N467" s="1"/>
      <c r="O467" s="64"/>
      <c r="P467" s="64" t="s">
        <v>143</v>
      </c>
      <c r="Q467" s="1"/>
      <c r="T467" s="62" t="s">
        <v>162</v>
      </c>
      <c r="V467" s="1"/>
      <c r="W467" s="63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s="62" customFormat="1" ht="12" customHeight="1">
      <c r="A468" s="1"/>
      <c r="B468" s="65" t="s">
        <v>152</v>
      </c>
      <c r="C468" s="3"/>
      <c r="D468" s="1"/>
      <c r="F468" s="62" t="s">
        <v>144</v>
      </c>
      <c r="H468" s="1"/>
      <c r="K468" s="62" t="s">
        <v>145</v>
      </c>
      <c r="L468" s="1"/>
      <c r="M468" s="1"/>
      <c r="N468" s="1"/>
      <c r="O468" s="64"/>
      <c r="P468" s="64" t="s">
        <v>146</v>
      </c>
      <c r="Q468" s="1"/>
      <c r="S468" s="3"/>
      <c r="T468" s="3"/>
      <c r="U468" s="3"/>
      <c r="V468" s="1"/>
      <c r="W468" s="63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s="62" customFormat="1" ht="12.75" customHeight="1" thickBot="1">
      <c r="A469" s="1"/>
      <c r="B469" s="66" t="s">
        <v>147</v>
      </c>
      <c r="C469" s="67"/>
      <c r="D469" s="68"/>
      <c r="E469" s="69"/>
      <c r="F469" s="69" t="s">
        <v>148</v>
      </c>
      <c r="G469" s="68"/>
      <c r="H469" s="67"/>
      <c r="I469" s="69"/>
      <c r="J469" s="69"/>
      <c r="K469" s="68" t="s">
        <v>151</v>
      </c>
      <c r="L469" s="68"/>
      <c r="M469" s="68"/>
      <c r="N469" s="68"/>
      <c r="O469" s="69"/>
      <c r="P469" s="69" t="s">
        <v>149</v>
      </c>
      <c r="Q469" s="68"/>
      <c r="R469" s="68"/>
      <c r="S469" s="68"/>
      <c r="T469" s="68"/>
      <c r="U469" s="68"/>
      <c r="V469" s="68"/>
      <c r="W469" s="70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s="62" customFormat="1" ht="12.75" customHeight="1">
      <c r="A470" s="1"/>
      <c r="B470" s="64" t="s">
        <v>150</v>
      </c>
      <c r="C470" s="71"/>
      <c r="F470" s="72"/>
      <c r="H470" s="1"/>
      <c r="I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"/>
      <c r="W470" s="6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2:18" ht="12.75" customHeight="1">
      <c r="B471" s="73"/>
      <c r="C471" s="74" t="s">
        <v>235</v>
      </c>
      <c r="D471" s="75"/>
      <c r="E471" s="76"/>
      <c r="F471" s="72"/>
      <c r="G471" s="77"/>
      <c r="Q471" s="1"/>
      <c r="R471" s="1"/>
    </row>
    <row r="472" spans="2:18" ht="12.75" customHeight="1">
      <c r="B472" s="73"/>
      <c r="C472" s="74"/>
      <c r="D472" s="75"/>
      <c r="E472" s="76"/>
      <c r="F472" s="72"/>
      <c r="G472" s="77"/>
      <c r="Q472" s="1"/>
      <c r="R472" s="1"/>
    </row>
    <row r="473" spans="2:18" ht="12.75" customHeight="1">
      <c r="B473" s="73"/>
      <c r="C473" s="74"/>
      <c r="D473" s="75"/>
      <c r="E473" s="76"/>
      <c r="F473" s="72"/>
      <c r="G473" s="77"/>
      <c r="Q473" s="1"/>
      <c r="R473" s="1"/>
    </row>
    <row r="474" spans="2:18" ht="12.75" customHeight="1">
      <c r="B474" s="73"/>
      <c r="C474" s="74"/>
      <c r="D474" s="75"/>
      <c r="E474" s="76"/>
      <c r="F474" s="72"/>
      <c r="G474" s="77"/>
      <c r="I474" s="153" t="s">
        <v>233</v>
      </c>
      <c r="J474" s="153"/>
      <c r="K474" s="153"/>
      <c r="L474" s="153"/>
      <c r="M474" s="153"/>
      <c r="Q474" s="1"/>
      <c r="R474" s="1"/>
    </row>
    <row r="475" spans="2:18" ht="12.75" customHeight="1" hidden="1">
      <c r="B475" s="78"/>
      <c r="C475" s="71"/>
      <c r="D475" s="79"/>
      <c r="E475" s="76"/>
      <c r="F475" s="72"/>
      <c r="G475" s="79"/>
      <c r="Q475" s="1"/>
      <c r="R475" s="1"/>
    </row>
    <row r="476" spans="2:18" ht="12.75" customHeight="1" hidden="1">
      <c r="B476" s="78"/>
      <c r="C476" s="71"/>
      <c r="D476" s="79"/>
      <c r="E476" s="76"/>
      <c r="F476" s="72"/>
      <c r="G476" s="79"/>
      <c r="Q476" s="1"/>
      <c r="R476" s="1"/>
    </row>
    <row r="477" spans="2:18" ht="12.75" customHeight="1" hidden="1">
      <c r="B477" s="78"/>
      <c r="C477" s="71"/>
      <c r="D477" s="79"/>
      <c r="E477" s="76"/>
      <c r="F477" s="72"/>
      <c r="G477" s="79"/>
      <c r="Q477" s="1"/>
      <c r="R477" s="1"/>
    </row>
    <row r="478" spans="2:18" ht="12.75" customHeight="1">
      <c r="B478" s="80"/>
      <c r="C478" s="2"/>
      <c r="D478" s="2"/>
      <c r="E478" s="2"/>
      <c r="F478" s="2"/>
      <c r="G478" s="2"/>
      <c r="I478" s="154" t="s">
        <v>234</v>
      </c>
      <c r="J478" s="155"/>
      <c r="K478" s="155"/>
      <c r="L478" s="155"/>
      <c r="M478" s="155"/>
      <c r="Q478" s="1"/>
      <c r="R478" s="1"/>
    </row>
    <row r="479" spans="9:18" ht="12.75" customHeight="1">
      <c r="I479" s="156"/>
      <c r="J479" s="156"/>
      <c r="K479" s="156"/>
      <c r="L479" s="156"/>
      <c r="M479" s="156"/>
      <c r="Q479" s="1"/>
      <c r="R479" s="1"/>
    </row>
    <row r="480" spans="17:18" ht="12.75" customHeight="1">
      <c r="Q480" s="1"/>
      <c r="R480" s="1"/>
    </row>
    <row r="481" spans="17:18" ht="12.75" customHeight="1">
      <c r="Q481" s="1"/>
      <c r="R481" s="1"/>
    </row>
    <row r="482" spans="17:18" ht="12.75" customHeight="1">
      <c r="Q482" s="1"/>
      <c r="R482" s="1"/>
    </row>
    <row r="483" spans="17:18" ht="12.75" customHeight="1">
      <c r="Q483" s="1"/>
      <c r="R483" s="1"/>
    </row>
    <row r="484" spans="17:18" ht="12.75" customHeight="1">
      <c r="Q484" s="1"/>
      <c r="R484" s="1"/>
    </row>
    <row r="485" spans="17:18" ht="12.75" customHeight="1">
      <c r="Q485" s="1"/>
      <c r="R485" s="1"/>
    </row>
    <row r="486" spans="17:18" ht="12.75" customHeight="1">
      <c r="Q486" s="1"/>
      <c r="R486" s="1"/>
    </row>
    <row r="487" spans="10:18" ht="12.75" customHeight="1">
      <c r="J487" s="87"/>
      <c r="Q487" s="1"/>
      <c r="R487" s="1"/>
    </row>
    <row r="488" spans="10:18" ht="12.75" customHeight="1">
      <c r="J488" s="88"/>
      <c r="Q488" s="1"/>
      <c r="R488" s="1"/>
    </row>
    <row r="489" spans="10:18" ht="12.75" customHeight="1">
      <c r="J489" s="88"/>
      <c r="Q489" s="1"/>
      <c r="R489" s="1"/>
    </row>
    <row r="490" spans="17:18" ht="12.75" customHeight="1">
      <c r="Q490" s="1"/>
      <c r="R490" s="1"/>
    </row>
    <row r="491" spans="17:18" ht="12.75" customHeight="1">
      <c r="Q491" s="1"/>
      <c r="R491" s="1"/>
    </row>
    <row r="492" spans="17:18" ht="12.75" customHeight="1">
      <c r="Q492" s="1"/>
      <c r="R492" s="1"/>
    </row>
    <row r="493" spans="17:18" ht="12.75" customHeight="1">
      <c r="Q493" s="1"/>
      <c r="R493" s="1"/>
    </row>
    <row r="494" spans="17:18" ht="12.75" customHeight="1">
      <c r="Q494" s="1"/>
      <c r="R494" s="1"/>
    </row>
    <row r="495" spans="17:18" ht="12.75" customHeight="1">
      <c r="Q495" s="1"/>
      <c r="R495" s="1"/>
    </row>
    <row r="496" spans="17:18" ht="12.75" customHeight="1">
      <c r="Q496" s="1"/>
      <c r="R496" s="1"/>
    </row>
    <row r="497" spans="17:18" ht="12.75" customHeight="1">
      <c r="Q497" s="1"/>
      <c r="R497" s="1"/>
    </row>
    <row r="498" spans="17:18" ht="12.75" customHeight="1">
      <c r="Q498" s="1"/>
      <c r="R498" s="1"/>
    </row>
    <row r="499" spans="17:18" ht="12.75" customHeight="1">
      <c r="Q499" s="1"/>
      <c r="R499" s="1"/>
    </row>
    <row r="500" spans="17:18" ht="12.75" customHeight="1">
      <c r="Q500" s="1"/>
      <c r="R500" s="1"/>
    </row>
    <row r="501" spans="17:18" ht="12.75" customHeight="1">
      <c r="Q501" s="1"/>
      <c r="R501" s="1"/>
    </row>
    <row r="502" spans="17:18" ht="12.75" customHeight="1">
      <c r="Q502" s="1"/>
      <c r="R502" s="1"/>
    </row>
    <row r="503" spans="17:18" ht="12.75" customHeight="1">
      <c r="Q503" s="1"/>
      <c r="R503" s="1"/>
    </row>
    <row r="504" spans="17:18" ht="12.75" customHeight="1">
      <c r="Q504" s="1"/>
      <c r="R504" s="1"/>
    </row>
    <row r="505" spans="17:18" ht="12.75" customHeight="1">
      <c r="Q505" s="1"/>
      <c r="R505" s="1"/>
    </row>
    <row r="506" spans="17:18" ht="12.75" customHeight="1">
      <c r="Q506" s="1"/>
      <c r="R506" s="1"/>
    </row>
    <row r="507" spans="17:18" ht="12.75" customHeight="1">
      <c r="Q507" s="1"/>
      <c r="R507" s="1"/>
    </row>
    <row r="508" spans="17:18" ht="12.75" customHeight="1">
      <c r="Q508" s="1"/>
      <c r="R508" s="1"/>
    </row>
    <row r="509" spans="17:18" ht="12.75" customHeight="1">
      <c r="Q509" s="1"/>
      <c r="R509" s="1"/>
    </row>
    <row r="510" spans="17:18" ht="12.75" customHeight="1">
      <c r="Q510" s="1"/>
      <c r="R510" s="1"/>
    </row>
    <row r="511" spans="17:18" ht="12.75" customHeight="1">
      <c r="Q511" s="1"/>
      <c r="R511" s="1"/>
    </row>
    <row r="512" spans="17:18" ht="12.75" customHeight="1">
      <c r="Q512" s="1"/>
      <c r="R512" s="1"/>
    </row>
    <row r="513" spans="17:18" ht="12.75" customHeight="1">
      <c r="Q513" s="1"/>
      <c r="R513" s="1"/>
    </row>
    <row r="514" spans="17:18" ht="12.75" customHeight="1">
      <c r="Q514" s="1"/>
      <c r="R514" s="1"/>
    </row>
    <row r="515" spans="17:18" ht="12.75" customHeight="1">
      <c r="Q515" s="1"/>
      <c r="R515" s="1"/>
    </row>
    <row r="516" spans="17:18" ht="12.75" customHeight="1">
      <c r="Q516" s="1"/>
      <c r="R516" s="1"/>
    </row>
    <row r="517" spans="17:18" ht="12.75" customHeight="1">
      <c r="Q517" s="1"/>
      <c r="R517" s="1"/>
    </row>
    <row r="518" spans="17:18" ht="12.75" customHeight="1">
      <c r="Q518" s="1"/>
      <c r="R518" s="1"/>
    </row>
    <row r="519" spans="17:18" ht="12.75" customHeight="1">
      <c r="Q519" s="1"/>
      <c r="R519" s="1"/>
    </row>
    <row r="520" spans="17:18" ht="12.75" customHeight="1">
      <c r="Q520" s="1"/>
      <c r="R520" s="1"/>
    </row>
    <row r="521" spans="17:18" ht="12.75" customHeight="1">
      <c r="Q521" s="1"/>
      <c r="R521" s="1"/>
    </row>
    <row r="522" spans="17:18" ht="12.75" customHeight="1">
      <c r="Q522" s="1"/>
      <c r="R522" s="1"/>
    </row>
    <row r="523" spans="17:18" ht="12.75" customHeight="1">
      <c r="Q523" s="1"/>
      <c r="R523" s="1"/>
    </row>
    <row r="524" spans="17:18" ht="12.75" customHeight="1">
      <c r="Q524" s="1"/>
      <c r="R524" s="1"/>
    </row>
    <row r="525" spans="17:18" ht="12.75" customHeight="1">
      <c r="Q525" s="1"/>
      <c r="R525" s="1"/>
    </row>
    <row r="526" spans="17:18" ht="12.75" customHeight="1">
      <c r="Q526" s="1"/>
      <c r="R526" s="1"/>
    </row>
    <row r="527" spans="17:18" ht="12.75" customHeight="1">
      <c r="Q527" s="1"/>
      <c r="R527" s="1"/>
    </row>
    <row r="528" spans="17:18" ht="12.75" customHeight="1">
      <c r="Q528" s="1"/>
      <c r="R528" s="1"/>
    </row>
    <row r="529" spans="17:18" ht="12.75" customHeight="1">
      <c r="Q529" s="1"/>
      <c r="R529" s="1"/>
    </row>
    <row r="530" spans="17:18" ht="12.75" customHeight="1">
      <c r="Q530" s="1"/>
      <c r="R530" s="1"/>
    </row>
    <row r="531" spans="17:18" ht="12.75" customHeight="1">
      <c r="Q531" s="1"/>
      <c r="R531" s="1"/>
    </row>
    <row r="532" spans="17:18" ht="12.75" customHeight="1">
      <c r="Q532" s="1"/>
      <c r="R532" s="1"/>
    </row>
    <row r="533" spans="17:18" ht="12.75" customHeight="1">
      <c r="Q533" s="1"/>
      <c r="R533" s="1"/>
    </row>
    <row r="534" spans="17:18" ht="12.75" customHeight="1">
      <c r="Q534" s="1"/>
      <c r="R534" s="1"/>
    </row>
    <row r="535" spans="17:18" ht="12.75" customHeight="1">
      <c r="Q535" s="1"/>
      <c r="R535" s="1"/>
    </row>
    <row r="536" spans="17:18" ht="12.75" customHeight="1">
      <c r="Q536" s="1"/>
      <c r="R536" s="1"/>
    </row>
    <row r="537" spans="17:18" ht="12.75" customHeight="1">
      <c r="Q537" s="1"/>
      <c r="R537" s="1"/>
    </row>
    <row r="538" spans="17:18" ht="12.75" customHeight="1">
      <c r="Q538" s="1"/>
      <c r="R538" s="1"/>
    </row>
    <row r="539" spans="17:18" ht="12.75" customHeight="1">
      <c r="Q539" s="1"/>
      <c r="R539" s="1"/>
    </row>
    <row r="540" spans="17:18" ht="12.75" customHeight="1">
      <c r="Q540" s="1"/>
      <c r="R540" s="1"/>
    </row>
    <row r="541" spans="17:18" ht="12.75" customHeight="1">
      <c r="Q541" s="1"/>
      <c r="R541" s="1"/>
    </row>
    <row r="542" spans="17:18" ht="12.75" customHeight="1">
      <c r="Q542" s="1"/>
      <c r="R542" s="1"/>
    </row>
    <row r="543" spans="17:18" ht="12.75" customHeight="1">
      <c r="Q543" s="1"/>
      <c r="R543" s="1"/>
    </row>
    <row r="544" spans="17:18" ht="12.75" customHeight="1">
      <c r="Q544" s="1"/>
      <c r="R544" s="1"/>
    </row>
    <row r="545" spans="17:18" ht="12.75" customHeight="1">
      <c r="Q545" s="1"/>
      <c r="R545" s="1"/>
    </row>
    <row r="546" spans="17:18" ht="12.75" customHeight="1">
      <c r="Q546" s="1"/>
      <c r="R546" s="1"/>
    </row>
    <row r="547" spans="17:18" ht="12.75" customHeight="1">
      <c r="Q547" s="1"/>
      <c r="R547" s="1"/>
    </row>
    <row r="548" spans="17:18" ht="12.75" customHeight="1">
      <c r="Q548" s="1"/>
      <c r="R548" s="1"/>
    </row>
    <row r="549" spans="17:18" ht="12.75" customHeight="1">
      <c r="Q549" s="1"/>
      <c r="R549" s="1"/>
    </row>
    <row r="550" spans="17:18" ht="12.75" customHeight="1">
      <c r="Q550" s="1"/>
      <c r="R550" s="1"/>
    </row>
    <row r="551" spans="17:18" ht="12.75" customHeight="1">
      <c r="Q551" s="1"/>
      <c r="R551" s="1"/>
    </row>
    <row r="552" spans="17:18" ht="12.75" customHeight="1">
      <c r="Q552" s="1"/>
      <c r="R552" s="1"/>
    </row>
    <row r="553" spans="17:18" ht="12.75" customHeight="1">
      <c r="Q553" s="1"/>
      <c r="R553" s="1"/>
    </row>
    <row r="554" spans="17:18" ht="12.75" customHeight="1">
      <c r="Q554" s="1"/>
      <c r="R554" s="1"/>
    </row>
    <row r="555" spans="17:18" ht="12.75" customHeight="1">
      <c r="Q555" s="1"/>
      <c r="R555" s="1"/>
    </row>
    <row r="556" spans="17:18" ht="12.75" customHeight="1">
      <c r="Q556" s="1"/>
      <c r="R556" s="1"/>
    </row>
    <row r="557" spans="17:18" ht="12.75" customHeight="1">
      <c r="Q557" s="1"/>
      <c r="R557" s="1"/>
    </row>
    <row r="558" spans="17:18" ht="12.75" customHeight="1">
      <c r="Q558" s="1"/>
      <c r="R558" s="1"/>
    </row>
    <row r="559" spans="17:18" ht="12.75" customHeight="1">
      <c r="Q559" s="1"/>
      <c r="R559" s="1"/>
    </row>
    <row r="560" spans="17:18" ht="12.75" customHeight="1">
      <c r="Q560" s="1"/>
      <c r="R560" s="1"/>
    </row>
    <row r="561" spans="17:18" ht="12.75" customHeight="1">
      <c r="Q561" s="1"/>
      <c r="R561" s="1"/>
    </row>
    <row r="562" spans="17:18" ht="12.75" customHeight="1">
      <c r="Q562" s="1"/>
      <c r="R562" s="1"/>
    </row>
    <row r="563" spans="17:18" ht="12.75" customHeight="1">
      <c r="Q563" s="1"/>
      <c r="R563" s="1"/>
    </row>
  </sheetData>
  <sheetProtection selectLockedCells="1" selectUnlockedCells="1"/>
  <mergeCells count="137">
    <mergeCell ref="B449:B451"/>
    <mergeCell ref="B5:B8"/>
    <mergeCell ref="I474:M474"/>
    <mergeCell ref="I478:M479"/>
    <mergeCell ref="B442:B445"/>
    <mergeCell ref="B446:B448"/>
    <mergeCell ref="B452:B454"/>
    <mergeCell ref="B455:B457"/>
    <mergeCell ref="B436:B438"/>
    <mergeCell ref="B439:B441"/>
    <mergeCell ref="B427:B429"/>
    <mergeCell ref="B430:B432"/>
    <mergeCell ref="B433:B435"/>
    <mergeCell ref="B298:B303"/>
    <mergeCell ref="B403:B405"/>
    <mergeCell ref="B406:B408"/>
    <mergeCell ref="B413:B415"/>
    <mergeCell ref="B416:B418"/>
    <mergeCell ref="B409:B412"/>
    <mergeCell ref="B377:B385"/>
    <mergeCell ref="B386:B388"/>
    <mergeCell ref="B389:B391"/>
    <mergeCell ref="B396:B402"/>
    <mergeCell ref="B392:B395"/>
    <mergeCell ref="B365:B367"/>
    <mergeCell ref="B368:B370"/>
    <mergeCell ref="B371:B373"/>
    <mergeCell ref="B374:B376"/>
    <mergeCell ref="B348:B351"/>
    <mergeCell ref="B352:B354"/>
    <mergeCell ref="B355:B360"/>
    <mergeCell ref="B361:B364"/>
    <mergeCell ref="B332:B335"/>
    <mergeCell ref="B336:B338"/>
    <mergeCell ref="B339:B341"/>
    <mergeCell ref="B345:B347"/>
    <mergeCell ref="B342:B344"/>
    <mergeCell ref="B320:B322"/>
    <mergeCell ref="B323:B325"/>
    <mergeCell ref="B326:B328"/>
    <mergeCell ref="B329:B331"/>
    <mergeCell ref="B304:B308"/>
    <mergeCell ref="B309:B313"/>
    <mergeCell ref="B314:B316"/>
    <mergeCell ref="B317:B319"/>
    <mergeCell ref="B288:B290"/>
    <mergeCell ref="B291:B293"/>
    <mergeCell ref="B294:B297"/>
    <mergeCell ref="B275:B277"/>
    <mergeCell ref="B278:B280"/>
    <mergeCell ref="B281:B284"/>
    <mergeCell ref="B285:B287"/>
    <mergeCell ref="B265:B268"/>
    <mergeCell ref="B269:B271"/>
    <mergeCell ref="B272:B274"/>
    <mergeCell ref="B244:B247"/>
    <mergeCell ref="B248:B250"/>
    <mergeCell ref="B255:B259"/>
    <mergeCell ref="B260:B264"/>
    <mergeCell ref="B251:B254"/>
    <mergeCell ref="B231:B233"/>
    <mergeCell ref="B234:B236"/>
    <mergeCell ref="B237:B239"/>
    <mergeCell ref="B240:B243"/>
    <mergeCell ref="B211:B213"/>
    <mergeCell ref="B214:B224"/>
    <mergeCell ref="B225:B227"/>
    <mergeCell ref="B228:B230"/>
    <mergeCell ref="B194:B196"/>
    <mergeCell ref="B197:B199"/>
    <mergeCell ref="B200:B205"/>
    <mergeCell ref="B206:B210"/>
    <mergeCell ref="B182:B184"/>
    <mergeCell ref="B185:B187"/>
    <mergeCell ref="B188:B190"/>
    <mergeCell ref="B191:B193"/>
    <mergeCell ref="B166:B168"/>
    <mergeCell ref="B169:B172"/>
    <mergeCell ref="B173:B175"/>
    <mergeCell ref="B179:B181"/>
    <mergeCell ref="B176:B178"/>
    <mergeCell ref="B149:B151"/>
    <mergeCell ref="B152:B154"/>
    <mergeCell ref="B158:B162"/>
    <mergeCell ref="B163:B165"/>
    <mergeCell ref="B155:B157"/>
    <mergeCell ref="B117:B128"/>
    <mergeCell ref="B137:B139"/>
    <mergeCell ref="B140:B148"/>
    <mergeCell ref="B133:B136"/>
    <mergeCell ref="B129:B132"/>
    <mergeCell ref="B102:B107"/>
    <mergeCell ref="B108:B110"/>
    <mergeCell ref="B111:B113"/>
    <mergeCell ref="B114:B116"/>
    <mergeCell ref="B92:B94"/>
    <mergeCell ref="B95:B97"/>
    <mergeCell ref="B98:B101"/>
    <mergeCell ref="B78:B80"/>
    <mergeCell ref="B81:B83"/>
    <mergeCell ref="B84:B88"/>
    <mergeCell ref="B89:B91"/>
    <mergeCell ref="B60:B64"/>
    <mergeCell ref="B65:B67"/>
    <mergeCell ref="B68:B74"/>
    <mergeCell ref="B75:B77"/>
    <mergeCell ref="B48:B50"/>
    <mergeCell ref="B51:B53"/>
    <mergeCell ref="B54:B56"/>
    <mergeCell ref="B57:B59"/>
    <mergeCell ref="B35:B37"/>
    <mergeCell ref="B38:B40"/>
    <mergeCell ref="B41:B43"/>
    <mergeCell ref="B44:B47"/>
    <mergeCell ref="B22:B24"/>
    <mergeCell ref="B25:B27"/>
    <mergeCell ref="B28:B31"/>
    <mergeCell ref="B32:B34"/>
    <mergeCell ref="B9:B11"/>
    <mergeCell ref="B12:B14"/>
    <mergeCell ref="B15:B18"/>
    <mergeCell ref="B19:B21"/>
    <mergeCell ref="U2:U4"/>
    <mergeCell ref="V2:W3"/>
    <mergeCell ref="F3:F4"/>
    <mergeCell ref="G3:H3"/>
    <mergeCell ref="I3:I4"/>
    <mergeCell ref="B419:B426"/>
    <mergeCell ref="B1:W1"/>
    <mergeCell ref="B2:B3"/>
    <mergeCell ref="C2:C4"/>
    <mergeCell ref="D2:E4"/>
    <mergeCell ref="F2:I2"/>
    <mergeCell ref="J2:P3"/>
    <mergeCell ref="Q2:R3"/>
    <mergeCell ref="S2:S4"/>
    <mergeCell ref="T2:T4"/>
  </mergeCells>
  <printOptions/>
  <pageMargins left="0.3597222222222222" right="0.19652777777777777" top="0.6402777777777777" bottom="0.78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da conceição cavalcanti guedes alcoforado</cp:lastModifiedBy>
  <cp:lastPrinted>2014-02-24T13:52:31Z</cp:lastPrinted>
  <dcterms:created xsi:type="dcterms:W3CDTF">2010-01-28T12:41:07Z</dcterms:created>
  <dcterms:modified xsi:type="dcterms:W3CDTF">2014-02-24T14:29:28Z</dcterms:modified>
  <cp:category/>
  <cp:version/>
  <cp:contentType/>
  <cp:contentStatus/>
  <cp:revision>4</cp:revision>
</cp:coreProperties>
</file>