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99" activeTab="0"/>
  </bookViews>
  <sheets>
    <sheet name="novembro2013" sheetId="1" r:id="rId1"/>
  </sheets>
  <externalReferences>
    <externalReference r:id="rId4"/>
  </externalReferences>
  <definedNames>
    <definedName name="_xlnm.Print_Area" localSheetId="0">'novembro2013'!$B$2:$W$465</definedName>
    <definedName name="Excel_BuiltIn__FilterDatabase">'novembro2013'!$B$4:$W$457</definedName>
    <definedName name="_xlnm.Print_Titles" localSheetId="0">'novembro2013'!$1:$4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<sst xmlns="http://schemas.openxmlformats.org/spreadsheetml/2006/main" count="618" uniqueCount="244">
  <si>
    <t>JUÍZES</t>
  </si>
  <si>
    <t>ÓRGÃO JULGADOR</t>
  </si>
  <si>
    <t>SITUAÇÃO</t>
  </si>
  <si>
    <t>PROCESSOS RECEBIDOS</t>
  </si>
  <si>
    <t>DECISÕES PROFERIDAS</t>
  </si>
  <si>
    <t>SALDO REMANESCENTE</t>
  </si>
  <si>
    <t>DEV. P/.  CONCILIAR</t>
  </si>
  <si>
    <t>CONV. DILIG.</t>
  </si>
  <si>
    <t>AUD. PRESID.</t>
  </si>
  <si>
    <t>PRODUTIVIDADE</t>
  </si>
  <si>
    <t>NO MÊS</t>
  </si>
  <si>
    <t>SALDO DE PROC. A JULGAR</t>
  </si>
  <si>
    <t>TOTAL</t>
  </si>
  <si>
    <t>(ordem alfabética)</t>
  </si>
  <si>
    <t>NP</t>
  </si>
  <si>
    <t>FP</t>
  </si>
  <si>
    <t>DEC. C/ RES. MERITO</t>
  </si>
  <si>
    <t>DEC.S/ RES. MÉRITO</t>
  </si>
  <si>
    <t>ED</t>
  </si>
  <si>
    <t>EE</t>
  </si>
  <si>
    <t>ET</t>
  </si>
  <si>
    <t>ACORDO HOMOL.</t>
  </si>
  <si>
    <t>(%.)</t>
  </si>
  <si>
    <t>(%) s/ os conciliados</t>
  </si>
  <si>
    <t>ADRIANA SATOU LESSA FERREIRA PINHEIRO</t>
  </si>
  <si>
    <t>AGENOR MARTINS PEREIRA</t>
  </si>
  <si>
    <t>ALBERTO CARLOS DE MENDONÇA</t>
  </si>
  <si>
    <t>em exercício</t>
  </si>
  <si>
    <t>ALINE PIMENTEL GONÇALVES</t>
  </si>
  <si>
    <t>AMAURY DE OLIVEIRA XAVIER RAMOS FILHO</t>
  </si>
  <si>
    <t>F</t>
  </si>
  <si>
    <t>ANA CATARINA CISNEIROS BARBOSA DE ARAÚJO</t>
  </si>
  <si>
    <t>ANA CATARINA MAGALHÃES SÁ LEITÃO</t>
  </si>
  <si>
    <t>ANA CLÁUDIA PETRUCCELLI DE LIMA</t>
  </si>
  <si>
    <t>ANA CRISTINA ARGOLO DE BARROS</t>
  </si>
  <si>
    <t>ANA ISABEL GUERRA BARBOSA KOURY</t>
  </si>
  <si>
    <t>ANA MARIA APARECIDA DE FREITAS</t>
  </si>
  <si>
    <t>ANA MARIA SOARES RIBEIRO DE BARROS</t>
  </si>
  <si>
    <t>ANDRÉ LUIZ MACHADO</t>
  </si>
  <si>
    <t>ANDRÉA CLÁUDIA DE SOUZA</t>
  </si>
  <si>
    <t>ANDRÉA KEUST BANDEIRA DE MELO</t>
  </si>
  <si>
    <t>ANTÔNIO AUGUSTO SERRA SECA</t>
  </si>
  <si>
    <t>ANTÔNIO WANDERLEY MARTINS</t>
  </si>
  <si>
    <t>LM</t>
  </si>
  <si>
    <t>ARMANDO DA CUNHA RABELO NETO</t>
  </si>
  <si>
    <t xml:space="preserve">AURÉLIO DA SILVA </t>
  </si>
  <si>
    <t>BARTOLOMEU ALVES BEZERRA</t>
  </si>
  <si>
    <t>BERNARDO NUNES DA COSTA NETO</t>
  </si>
  <si>
    <t>CAMILA AUGUSTA CABRAL   VASCONCELOS</t>
  </si>
  <si>
    <t>CARLA JANAÍNA MOURA LACERDA</t>
  </si>
  <si>
    <t>CARLA SANTINA DE SOUZA RODRIGUES</t>
  </si>
  <si>
    <t>CARMEM LÚCIA VIEIRA DO NASCIMENTO</t>
  </si>
  <si>
    <t>CÁSSIA BARATA DE MORAES SANTOS ARTEIRO</t>
  </si>
  <si>
    <t>CLAUDIA CHRISTINA SANTOS R. DE LIMA</t>
  </si>
  <si>
    <t>CRISTINA FIGUEIRA CALLOU DA C. GONÇALVES</t>
  </si>
  <si>
    <t>DAISY ANDERSON TENÓRIO</t>
  </si>
  <si>
    <t>DANIELLE LIRA PIMENTEL ACIOLI</t>
  </si>
  <si>
    <t>DANILO CAVALCANTI DE OLIVEIRA</t>
  </si>
  <si>
    <t>EDMILSON ALVES DA SILVA</t>
  </si>
  <si>
    <t>EDSON LUIS BRYK</t>
  </si>
  <si>
    <t>EDUARDO HENRIQUE BRENNAND D. CÂMARA</t>
  </si>
  <si>
    <t>ESTER DE SOUZA ARAÚJO FURTADO</t>
  </si>
  <si>
    <t>EVELLYNE FERRAZ CORREIA FARIAS</t>
  </si>
  <si>
    <t>FÁBIO JOSÉ RIBEIRO DANTAS FURTADO</t>
  </si>
  <si>
    <t>FERNANDO CABRAL DE ANDRADE FILHO</t>
  </si>
  <si>
    <t>GENISON CIRILO CABRAL</t>
  </si>
  <si>
    <t>GEORGE SIDNEY NEIVA COELHO</t>
  </si>
  <si>
    <t>GILVANILDO DE ARAÚJO LIMA</t>
  </si>
  <si>
    <t>GUILHERME DE MORAIS MENDONÇA</t>
  </si>
  <si>
    <t>GUSTAVO AUGUSTO PIRES DE OLIVEIRA</t>
  </si>
  <si>
    <t>GUSTAVO HENRIQUE CISNEIROS BARBOSA</t>
  </si>
  <si>
    <t>HÉLIO LUIZ FERNANDES GALVÃO</t>
  </si>
  <si>
    <t>IBRAHIM ALVES DA SILVA FILHO</t>
  </si>
  <si>
    <t>ILKA ELIANE DE SOUZA TAVARES</t>
  </si>
  <si>
    <t>JOAQUIM EMILIANO FORTALEZA DE LIMA</t>
  </si>
  <si>
    <t>JOSÉ ADELMY DA SILVA ACIOLI</t>
  </si>
  <si>
    <t>JOSÉ AUGUSTO SEGUNDO NETO</t>
  </si>
  <si>
    <t>JOSÉ LUCIANO ALEXO DA SILVA</t>
  </si>
  <si>
    <t>JOSÉ WILSON DA FONSECA</t>
  </si>
  <si>
    <t>JOSIMAR MENDES DA SILVA OLIVEIRA</t>
  </si>
  <si>
    <t>JUDITE GALINDO SAMPAIO CURCHATUZ</t>
  </si>
  <si>
    <t>JULIANA  LYRA  BARBOSA</t>
  </si>
  <si>
    <t>KATIA KEITIANE DA ROCHA PORTER</t>
  </si>
  <si>
    <t>LARRY DA SILVA OLIVEIRA FILHO</t>
  </si>
  <si>
    <t>LAURA CAVALCANTI DE MORAIS BOTELHO</t>
  </si>
  <si>
    <t>LILIANE MENDONÇA DE MORAES SOUZA</t>
  </si>
  <si>
    <t>LUCAS DE ARAÚJO CAVALCANTI</t>
  </si>
  <si>
    <t>LUCIANA PAULA CONFORTI</t>
  </si>
  <si>
    <t>MARCELO DA VEIGA PESSOA BACALLÁ</t>
  </si>
  <si>
    <t>MARCIA DE WINDSOR NOGUEIRA</t>
  </si>
  <si>
    <t>MARCÍLIO FLORÊNCIO MOTA</t>
  </si>
  <si>
    <t>MARIA CONSOLATA RÊGO BATISTA</t>
  </si>
  <si>
    <t>MARIA DAS GRAÇAS DE ARRUDA FRANÇA</t>
  </si>
  <si>
    <t>MARIA DE BETÂNIA SILVEIRA VILELA</t>
  </si>
  <si>
    <t>MARIA DO CARMO VAREJÃO RICHLIN</t>
  </si>
  <si>
    <t>MARIA JOSÉ DE SOUZA</t>
  </si>
  <si>
    <t>MARILIA GABRIELA MENDES LEITE DE ANDRADE</t>
  </si>
  <si>
    <t>MARTA DE FÁTIMA LEAL CHAVES</t>
  </si>
  <si>
    <t>MARTHA CRISTINA DO NASCIMENTO CANTALICE</t>
  </si>
  <si>
    <t xml:space="preserve">MATHEUS RIBEIRO REZENDE </t>
  </si>
  <si>
    <t>MAYARD DE FRANÇA SABOYA ALBUQUERQUE</t>
  </si>
  <si>
    <t>MAYSA COSTA DE CARVALHO ALVES</t>
  </si>
  <si>
    <t>MILTON GOUVEIA DA SILVA FILHO</t>
  </si>
  <si>
    <t>MIRIAM SOUTO MAIOR DE MORAIS</t>
  </si>
  <si>
    <t>NECY LAPENDA PESSOA DE A. AZEVEDO</t>
  </si>
  <si>
    <t>PATRÍCIA COELHO BRANDÃO VIEIRA</t>
  </si>
  <si>
    <t>PATRICIA PEDROSA SOUTO MAIOR</t>
  </si>
  <si>
    <t>PAULA REGINA DE QUEIROZ M. G. MUNIZ</t>
  </si>
  <si>
    <t>PAULO DIAS DE ALCÂNTARA</t>
  </si>
  <si>
    <t>PLAUDENICE ABREU DE ARAÚJO B. VIEIRA</t>
  </si>
  <si>
    <t>RAFAEL VAL NOGUEIRA</t>
  </si>
  <si>
    <t xml:space="preserve">REGINA MAURA MACIEL LEMOS </t>
  </si>
  <si>
    <t>RENATA CONCEIÇÃO NÓBREGA SANTOS</t>
  </si>
  <si>
    <t>RENATA LAPENDA RODRIGUES DE MELO</t>
  </si>
  <si>
    <t>RENATA LIMA RODRIGUES</t>
  </si>
  <si>
    <t>ROBERTA CORRÊA DE ARAÚJO MONTEIRO</t>
  </si>
  <si>
    <t>ROBERTA VANCE HARROP</t>
  </si>
  <si>
    <t>ROBERTO DE FREIRE BASTOS</t>
  </si>
  <si>
    <t>ROBSON TAVARES DUTRA</t>
  </si>
  <si>
    <t>RODRIGO SAMICO CARNEIRO</t>
  </si>
  <si>
    <t>ROGÉRIO FREYRE COSTA</t>
  </si>
  <si>
    <t>ROSA MELO MACHADO RODRIGUES FARIA</t>
  </si>
  <si>
    <t>SAULO BOSCO SOUZA DE MEDEIROS</t>
  </si>
  <si>
    <t>SÉRGIO MURILO DE CARVALHO LINS</t>
  </si>
  <si>
    <t>SÉRGIO VAISMAN</t>
  </si>
  <si>
    <t>SOHAD MARIA DUTRA CAHÚ</t>
  </si>
  <si>
    <t xml:space="preserve">SOLANGE MOURA DE ANDRADE </t>
  </si>
  <si>
    <t>TÂNIA REGINA CHENK ALLATTA</t>
  </si>
  <si>
    <t>VIRGÍNIA LÚCIA DE SÁ BAHIA</t>
  </si>
  <si>
    <t>VIRGÍNIO HENRIQUES DE SÁ BENEVIDES</t>
  </si>
  <si>
    <t>WALKÍRIA MIRIAM PINTO DE CARVALHO</t>
  </si>
  <si>
    <t>WALMAR SOARES CHAVES</t>
  </si>
  <si>
    <t>AF- AFASTAMENTO PARA CURSO/CONGRESSO</t>
  </si>
  <si>
    <t>LC- LICENÇA-CASAMENTO</t>
  </si>
  <si>
    <t>ME -MANDATO ELETIVO</t>
  </si>
  <si>
    <t>NP - NO PRAZO</t>
  </si>
  <si>
    <t>AUX - AUXILIAR DA PRESIDÊNCIA/CORREGEDORIA</t>
  </si>
  <si>
    <t>LG -  LICENÇA-GESTANTE</t>
  </si>
  <si>
    <t>RNE  -  RELATÓRIO NÃO ENVIADO</t>
  </si>
  <si>
    <t>FP - FORA DO PRAZO</t>
  </si>
  <si>
    <t>APO - APOSENTADORIA</t>
  </si>
  <si>
    <t>LM -  LICENÇA-MÉDICA</t>
  </si>
  <si>
    <t>OUT -  OUTROS</t>
  </si>
  <si>
    <t>ED - EMBARGOS DECLARATÓRIOS</t>
  </si>
  <si>
    <t>LP  -  LICENÇA-PRÊMIO</t>
  </si>
  <si>
    <t>OUV. - OUVIDOR</t>
  </si>
  <si>
    <t>EE - EMBARGOS À EXECUÇÃO</t>
  </si>
  <si>
    <t>LACF -LICENÇA ACOMP.FAMILIAR</t>
  </si>
  <si>
    <t>LPAT - LICENÇA-PATERNIDADE</t>
  </si>
  <si>
    <t>ET- EMBARGOS DE TERCEIRO</t>
  </si>
  <si>
    <t>VISTO, PUBLIQUE-SE.</t>
  </si>
  <si>
    <t xml:space="preserve">             C - CONVOCADO</t>
  </si>
  <si>
    <t xml:space="preserve">F - FÉRIAS </t>
  </si>
  <si>
    <t>Comp - COMPENSAÇÃO</t>
  </si>
  <si>
    <t xml:space="preserve">SITUAÇÃO </t>
  </si>
  <si>
    <t>EDGAR GURJÃO WANDERLEY NETO</t>
  </si>
  <si>
    <t xml:space="preserve">SITUAÇÃO  </t>
  </si>
  <si>
    <t>LUTO- Ausência Falecim. Parente</t>
  </si>
  <si>
    <t xml:space="preserve">AUX </t>
  </si>
  <si>
    <t>ME</t>
  </si>
  <si>
    <t>KATHARINA VILA NOVA DE CARVALHO OLIVEIRA E SILVA</t>
  </si>
  <si>
    <t>5ª VT Jaboatão</t>
  </si>
  <si>
    <t>LTRA- Licença p/ Trânsito</t>
  </si>
  <si>
    <t>Desembargadora Corregedora
   do TRT 6a. Região</t>
  </si>
  <si>
    <t xml:space="preserve">ANA CRISTINA DA SILVA </t>
  </si>
  <si>
    <t>ADALBERTO ELLERY BARREIRA NETO</t>
  </si>
  <si>
    <t>MARIANA DE CARVALHO MILET</t>
  </si>
  <si>
    <t>OUT/12 a SET/14                           (desde 04.10.12)</t>
  </si>
  <si>
    <t>2ª VT Igarassu</t>
  </si>
  <si>
    <t>LEVI PEREIRA DE OLIVEIRA</t>
  </si>
  <si>
    <t>2ª VT Ribeirão</t>
  </si>
  <si>
    <t>3ª VT Petrolina</t>
  </si>
  <si>
    <t>VANESSA ZACCHÊ DE SÁ</t>
  </si>
  <si>
    <t>Virgínia Malta Canavarro</t>
  </si>
  <si>
    <t>GERMANA CAMAROTTI TAVARES</t>
  </si>
  <si>
    <t>2ª VT Palmares</t>
  </si>
  <si>
    <t>SARAH YOLANDA ALVES DE SOUZA</t>
  </si>
  <si>
    <t>FEV/13 A JAN/15</t>
  </si>
  <si>
    <t>RODRIGO ANDERSON FERREIRA OLIVEIRA</t>
  </si>
  <si>
    <t>PAULA GOUVÊA XAVIER</t>
  </si>
  <si>
    <t xml:space="preserve">SITUAÇÃO   </t>
  </si>
  <si>
    <t>AUX</t>
  </si>
  <si>
    <t>MAI/13 A JAN/15</t>
  </si>
  <si>
    <t xml:space="preserve">OUV </t>
  </si>
  <si>
    <t xml:space="preserve">FEV/13 a JAN/15 </t>
  </si>
  <si>
    <t>EVANDRO EULER DIAS</t>
  </si>
  <si>
    <t>SÉRGIO PAULO ANDRADE LIMA</t>
  </si>
  <si>
    <t>HUGO CAVALCANTI MELO FILHO</t>
  </si>
  <si>
    <t>LG</t>
  </si>
  <si>
    <t>04.06 A 30.11.13</t>
  </si>
  <si>
    <t>AF</t>
  </si>
  <si>
    <t>LACF</t>
  </si>
  <si>
    <t>31.7.12 a 29.12.13</t>
  </si>
  <si>
    <t xml:space="preserve">SITUAÇÃO * </t>
  </si>
  <si>
    <t>C</t>
  </si>
  <si>
    <t>DÉBORA BORGES KOERICH</t>
  </si>
  <si>
    <t>VLADIMIR PAES DE CASTRO</t>
  </si>
  <si>
    <t>07/10 a 06/11/13</t>
  </si>
  <si>
    <t>21/10 a 19/11/13</t>
  </si>
  <si>
    <t>29.10 a 27.11.13</t>
  </si>
  <si>
    <t xml:space="preserve">F </t>
  </si>
  <si>
    <t>15.10 a 13.11.13</t>
  </si>
  <si>
    <t>07.10 a 05.11.13</t>
  </si>
  <si>
    <t>16.10 a 14.11.13</t>
  </si>
  <si>
    <t>PRODUTIVIDADE DOS JUÍZES DE 1ª INSTÂNCIA DO TRT DA 6ª REGIÃO - NOVEMBRO/2013</t>
  </si>
  <si>
    <t xml:space="preserve">(*)No período de 29.11 a 19.12 o Termo Judiciário de Sertânia esteve fechado para execução de serviços de manutenção (O.S. TRT-GP 629/13).  </t>
  </si>
  <si>
    <t xml:space="preserve">(*)No período de 27.11 a 29.11 a Vara de Catende esteve fechada para execução de serviços de manutenção (O.S. TRT-GP 628/13).  </t>
  </si>
  <si>
    <t>04.11 a 03.12.13</t>
  </si>
  <si>
    <t>20.11 a 19.12.13</t>
  </si>
  <si>
    <t>LM                                                    F</t>
  </si>
  <si>
    <t xml:space="preserve">05.11 a 14.11.13        20.11 a 19.12.13         </t>
  </si>
  <si>
    <t>04/10 a 02/11/13</t>
  </si>
  <si>
    <t xml:space="preserve">05.11 a 08.11.13        25.11 a 02.12.13         </t>
  </si>
  <si>
    <t>21.10 a 19.12.13</t>
  </si>
  <si>
    <t xml:space="preserve">(*)Retificadas as produtividades do juiz Danilo Cavalcanti de Oliveira, referentes aos meses de setembro/13 e outubro/13, em relação à 2ª VT Barreiros, para constar como saldos de  "7" e "0" no prazo  </t>
  </si>
  <si>
    <t xml:space="preserve"> e "16" e "23" fora do prazo, respectivamente;</t>
  </si>
  <si>
    <t>18.11 a 17.12.13</t>
  </si>
  <si>
    <t>23.10 a 16.01.14</t>
  </si>
  <si>
    <t>27.11 a 29.11.13</t>
  </si>
  <si>
    <t>C                                                     AF</t>
  </si>
  <si>
    <t>30.09 a 26.11.13         25.11 a 24.12.13</t>
  </si>
  <si>
    <t>15.10 a 13.11.13        19.11 a 18.12.13</t>
  </si>
  <si>
    <t>19.11 a 20.11.13</t>
  </si>
  <si>
    <t>F                                                      AF</t>
  </si>
  <si>
    <t>08.10 a 06.11.13        08.11 a 12.11.13</t>
  </si>
  <si>
    <t>04.10 a 02.11.13</t>
  </si>
  <si>
    <t xml:space="preserve">C                                                      AF </t>
  </si>
  <si>
    <t>19.11 a 19.12.13            27.11 a 29.11.13</t>
  </si>
  <si>
    <t>04, 05 e 11.11.13</t>
  </si>
  <si>
    <t xml:space="preserve">LM </t>
  </si>
  <si>
    <t xml:space="preserve">31.10 a 12.01.14 </t>
  </si>
  <si>
    <t>LM                                                     C</t>
  </si>
  <si>
    <t>04.11 a 18.11.13        28.11 a 28.12.13</t>
  </si>
  <si>
    <t>26.11 a 28.11.13</t>
  </si>
  <si>
    <t>09.09 a 03.12.13</t>
  </si>
  <si>
    <t>F                                                     LM</t>
  </si>
  <si>
    <t>16.10 a 14.11.13                   19.11.13</t>
  </si>
  <si>
    <t>19.11 a 18.12.13</t>
  </si>
  <si>
    <t>19.10 a 02.11.13        04.11 a 10.12.13</t>
  </si>
  <si>
    <t>C                                                             F</t>
  </si>
  <si>
    <t>13.11.13                                           19.11 a 18.12.13</t>
  </si>
  <si>
    <t>07 e 08.11.13</t>
  </si>
  <si>
    <t>21.10 a 19.11.13         20.11 a 19.12.13</t>
  </si>
  <si>
    <t>Recife, 17 de dezembro 2013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</si>
</sst>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mm/yy"/>
    <numFmt numFmtId="173" formatCode="dd&quot;  de  &quot;mmmm&quot;  de  &quot;yyyy"/>
    <numFmt numFmtId="174" formatCode="&quot;Sim&quot;;&quot;Sim&quot;;&quot;Não&quot;"/>
    <numFmt numFmtId="175" formatCode="&quot;Verdadeiro&quot;;&quot;Verdadeiro&quot;;&quot;Falso&quot;"/>
    <numFmt numFmtId="176" formatCode="&quot;Ativar&quot;;&quot;Ativar&quot;;&quot;Desativar&quot;"/>
    <numFmt numFmtId="177" formatCode="[$€-2]\ #,##0.00_);[Red]\([$€-2]\ #,##0.00\)"/>
  </numFmts>
  <fonts count="2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1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/>
      <top style="thin"/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8" fillId="3" borderId="0" applyNumberFormat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Alignment="0" applyProtection="0"/>
    <xf numFmtId="9" fontId="0" fillId="0" borderId="0" applyFill="0" applyBorder="0" applyAlignment="0" applyProtection="0"/>
    <xf numFmtId="0" fontId="10" fillId="16" borderId="5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3" fillId="0" borderId="9" applyNumberFormat="0" applyFill="0" applyAlignment="0" applyProtection="0"/>
  </cellStyleXfs>
  <cellXfs count="157">
    <xf numFmtId="0" fontId="0" fillId="0" borderId="0" xfId="0" applyAlignment="1">
      <alignment/>
    </xf>
    <xf numFmtId="0" fontId="18" fillId="0" borderId="0" xfId="0" applyFont="1" applyFill="1" applyBorder="1" applyAlignment="1" applyProtection="1">
      <alignment horizontal="center"/>
      <protection/>
    </xf>
    <xf numFmtId="0" fontId="18" fillId="0" borderId="0" xfId="0" applyFont="1" applyFill="1" applyBorder="1" applyAlignment="1" applyProtection="1">
      <alignment/>
      <protection/>
    </xf>
    <xf numFmtId="0" fontId="18" fillId="0" borderId="0" xfId="0" applyFont="1" applyFill="1" applyBorder="1" applyAlignment="1" applyProtection="1">
      <alignment/>
      <protection/>
    </xf>
    <xf numFmtId="1" fontId="18" fillId="0" borderId="0" xfId="0" applyNumberFormat="1" applyFont="1" applyFill="1" applyBorder="1" applyAlignment="1" applyProtection="1">
      <alignment horizontal="left"/>
      <protection/>
    </xf>
    <xf numFmtId="0" fontId="18" fillId="24" borderId="0" xfId="0" applyFont="1" applyFill="1" applyBorder="1" applyAlignment="1" applyProtection="1">
      <alignment horizontal="center"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9" fillId="0" borderId="10" xfId="0" applyFont="1" applyFill="1" applyBorder="1" applyAlignment="1" applyProtection="1">
      <alignment vertical="center" wrapText="1"/>
      <protection/>
    </xf>
    <xf numFmtId="0" fontId="19" fillId="0" borderId="0" xfId="0" applyFont="1" applyFill="1" applyBorder="1" applyAlignment="1" applyProtection="1">
      <alignment vertical="center" wrapText="1"/>
      <protection/>
    </xf>
    <xf numFmtId="10" fontId="20" fillId="0" borderId="11" xfId="0" applyNumberFormat="1" applyFont="1" applyFill="1" applyBorder="1" applyAlignment="1" applyProtection="1">
      <alignment horizontal="center" vertical="center" wrapText="1"/>
      <protection/>
    </xf>
    <xf numFmtId="0" fontId="20" fillId="0" borderId="12" xfId="0" applyFont="1" applyFill="1" applyBorder="1" applyAlignment="1" applyProtection="1">
      <alignment horizontal="center" vertical="center"/>
      <protection/>
    </xf>
    <xf numFmtId="10" fontId="20" fillId="0" borderId="12" xfId="0" applyNumberFormat="1" applyFont="1" applyFill="1" applyBorder="1" applyAlignment="1" applyProtection="1">
      <alignment horizontal="center" vertical="center" wrapText="1"/>
      <protection/>
    </xf>
    <xf numFmtId="10" fontId="20" fillId="25" borderId="11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0" applyFont="1" applyFill="1" applyBorder="1" applyAlignment="1" applyProtection="1">
      <alignment horizontal="center" vertical="center"/>
      <protection/>
    </xf>
    <xf numFmtId="0" fontId="20" fillId="25" borderId="13" xfId="0" applyFont="1" applyFill="1" applyBorder="1" applyAlignment="1">
      <alignment vertical="center"/>
    </xf>
    <xf numFmtId="0" fontId="18" fillId="25" borderId="11" xfId="0" applyFont="1" applyFill="1" applyBorder="1" applyAlignment="1" applyProtection="1">
      <alignment horizontal="center" vertical="center"/>
      <protection locked="0"/>
    </xf>
    <xf numFmtId="1" fontId="18" fillId="25" borderId="11" xfId="0" applyNumberFormat="1" applyFont="1" applyFill="1" applyBorder="1" applyAlignment="1" applyProtection="1">
      <alignment horizontal="center" vertical="center" wrapText="1"/>
      <protection locked="0"/>
    </xf>
    <xf numFmtId="1" fontId="18" fillId="25" borderId="11" xfId="0" applyNumberFormat="1" applyFont="1" applyFill="1" applyBorder="1" applyAlignment="1" applyProtection="1">
      <alignment horizontal="center" vertical="center"/>
      <protection locked="0"/>
    </xf>
    <xf numFmtId="10" fontId="18" fillId="25" borderId="11" xfId="0" applyNumberFormat="1" applyFont="1" applyFill="1" applyBorder="1" applyAlignment="1" applyProtection="1">
      <alignment horizontal="center" vertical="center"/>
      <protection/>
    </xf>
    <xf numFmtId="10" fontId="18" fillId="0" borderId="0" xfId="49" applyNumberFormat="1" applyFont="1" applyFill="1" applyBorder="1" applyAlignment="1" applyProtection="1">
      <alignment/>
      <protection/>
    </xf>
    <xf numFmtId="0" fontId="20" fillId="25" borderId="13" xfId="0" applyFont="1" applyFill="1" applyBorder="1" applyAlignment="1">
      <alignment/>
    </xf>
    <xf numFmtId="0" fontId="20" fillId="25" borderId="11" xfId="0" applyFont="1" applyFill="1" applyBorder="1" applyAlignment="1" applyProtection="1">
      <alignment vertical="center"/>
      <protection locked="0"/>
    </xf>
    <xf numFmtId="0" fontId="18" fillId="25" borderId="14" xfId="0" applyFont="1" applyFill="1" applyBorder="1" applyAlignment="1" applyProtection="1">
      <alignment horizontal="center" vertical="center"/>
      <protection locked="0"/>
    </xf>
    <xf numFmtId="1" fontId="18" fillId="25" borderId="10" xfId="0" applyNumberFormat="1" applyFont="1" applyFill="1" applyBorder="1" applyAlignment="1" applyProtection="1">
      <alignment horizontal="center" vertical="center" wrapText="1"/>
      <protection locked="0"/>
    </xf>
    <xf numFmtId="0" fontId="20" fillId="25" borderId="11" xfId="0" applyFont="1" applyFill="1" applyBorder="1" applyAlignment="1" applyProtection="1">
      <alignment horizontal="center" vertical="center"/>
      <protection locked="0"/>
    </xf>
    <xf numFmtId="1" fontId="20" fillId="25" borderId="15" xfId="0" applyNumberFormat="1" applyFont="1" applyFill="1" applyBorder="1" applyAlignment="1" applyProtection="1">
      <alignment horizontal="center" vertical="center"/>
      <protection locked="0"/>
    </xf>
    <xf numFmtId="10" fontId="20" fillId="25" borderId="11" xfId="0" applyNumberFormat="1" applyFont="1" applyFill="1" applyBorder="1" applyAlignment="1" applyProtection="1">
      <alignment horizontal="center" vertical="center"/>
      <protection/>
    </xf>
    <xf numFmtId="0" fontId="18" fillId="25" borderId="0" xfId="0" applyFont="1" applyFill="1" applyBorder="1" applyAlignment="1" applyProtection="1">
      <alignment vertical="center"/>
      <protection/>
    </xf>
    <xf numFmtId="9" fontId="0" fillId="25" borderId="0" xfId="49" applyFill="1" applyBorder="1" applyAlignment="1" applyProtection="1">
      <alignment vertical="center"/>
      <protection/>
    </xf>
    <xf numFmtId="0" fontId="18" fillId="25" borderId="11" xfId="0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Fill="1" applyBorder="1" applyAlignment="1" applyProtection="1">
      <alignment vertical="center"/>
      <protection/>
    </xf>
    <xf numFmtId="9" fontId="0" fillId="0" borderId="0" xfId="49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horizontal="center" vertical="center"/>
      <protection/>
    </xf>
    <xf numFmtId="0" fontId="18" fillId="25" borderId="10" xfId="0" applyFont="1" applyFill="1" applyBorder="1" applyAlignment="1" applyProtection="1">
      <alignment horizontal="center" vertical="center"/>
      <protection locked="0"/>
    </xf>
    <xf numFmtId="10" fontId="18" fillId="0" borderId="0" xfId="49" applyNumberFormat="1" applyFont="1" applyFill="1" applyBorder="1" applyAlignment="1" applyProtection="1">
      <alignment vertical="center"/>
      <protection/>
    </xf>
    <xf numFmtId="0" fontId="18" fillId="0" borderId="0" xfId="0" applyFont="1" applyFill="1" applyAlignment="1">
      <alignment horizontal="center"/>
    </xf>
    <xf numFmtId="0" fontId="18" fillId="0" borderId="0" xfId="0" applyFont="1" applyFill="1" applyAlignment="1">
      <alignment horizontal="right" wrapText="1"/>
    </xf>
    <xf numFmtId="0" fontId="18" fillId="0" borderId="0" xfId="0" applyFont="1" applyFill="1" applyAlignment="1">
      <alignment horizontal="right"/>
    </xf>
    <xf numFmtId="10" fontId="18" fillId="0" borderId="0" xfId="49" applyNumberFormat="1" applyFont="1" applyFill="1" applyBorder="1" applyAlignment="1" applyProtection="1">
      <alignment horizontal="right"/>
      <protection/>
    </xf>
    <xf numFmtId="0" fontId="18" fillId="0" borderId="0" xfId="0" applyFont="1" applyFill="1" applyBorder="1" applyAlignment="1" applyProtection="1">
      <alignment horizontal="right" vertical="center"/>
      <protection/>
    </xf>
    <xf numFmtId="1" fontId="20" fillId="25" borderId="11" xfId="0" applyNumberFormat="1" applyFont="1" applyFill="1" applyBorder="1" applyAlignment="1" applyProtection="1">
      <alignment horizontal="center" vertical="center"/>
      <protection locked="0"/>
    </xf>
    <xf numFmtId="1" fontId="18" fillId="25" borderId="15" xfId="0" applyNumberFormat="1" applyFont="1" applyFill="1" applyBorder="1" applyAlignment="1" applyProtection="1">
      <alignment horizontal="center" vertical="center" wrapText="1"/>
      <protection locked="0"/>
    </xf>
    <xf numFmtId="0" fontId="18" fillId="25" borderId="12" xfId="0" applyFont="1" applyFill="1" applyBorder="1" applyAlignment="1" applyProtection="1">
      <alignment horizontal="center" vertical="center" wrapText="1"/>
      <protection locked="0"/>
    </xf>
    <xf numFmtId="0" fontId="18" fillId="25" borderId="12" xfId="0" applyFont="1" applyFill="1" applyBorder="1" applyAlignment="1" applyProtection="1">
      <alignment horizontal="center" vertical="center"/>
      <protection locked="0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right"/>
    </xf>
    <xf numFmtId="10" fontId="18" fillId="0" borderId="0" xfId="49" applyNumberFormat="1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1" fontId="20" fillId="25" borderId="11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Fill="1" applyBorder="1" applyAlignment="1" applyProtection="1">
      <alignment vertical="center"/>
      <protection/>
    </xf>
    <xf numFmtId="10" fontId="20" fillId="0" borderId="0" xfId="49" applyNumberFormat="1" applyFont="1" applyFill="1" applyBorder="1" applyAlignment="1" applyProtection="1">
      <alignment vertical="center"/>
      <protection/>
    </xf>
    <xf numFmtId="0" fontId="20" fillId="25" borderId="10" xfId="0" applyFont="1" applyFill="1" applyBorder="1" applyAlignment="1" applyProtection="1">
      <alignment horizontal="center" vertical="center"/>
      <protection locked="0"/>
    </xf>
    <xf numFmtId="1" fontId="20" fillId="25" borderId="10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Fill="1" applyBorder="1" applyAlignment="1" applyProtection="1">
      <alignment horizontal="right" vertical="center"/>
      <protection/>
    </xf>
    <xf numFmtId="0" fontId="21" fillId="0" borderId="16" xfId="0" applyFont="1" applyFill="1" applyBorder="1" applyAlignment="1" applyProtection="1">
      <alignment horizontal="left"/>
      <protection/>
    </xf>
    <xf numFmtId="0" fontId="18" fillId="0" borderId="17" xfId="0" applyFont="1" applyFill="1" applyBorder="1" applyAlignment="1" applyProtection="1">
      <alignment/>
      <protection/>
    </xf>
    <xf numFmtId="0" fontId="18" fillId="0" borderId="17" xfId="0" applyFont="1" applyFill="1" applyBorder="1" applyAlignment="1" applyProtection="1">
      <alignment horizontal="center"/>
      <protection/>
    </xf>
    <xf numFmtId="1" fontId="18" fillId="0" borderId="17" xfId="0" applyNumberFormat="1" applyFont="1" applyFill="1" applyBorder="1" applyAlignment="1" applyProtection="1">
      <alignment horizontal="left"/>
      <protection/>
    </xf>
    <xf numFmtId="0" fontId="18" fillId="0" borderId="17" xfId="0" applyFont="1" applyFill="1" applyBorder="1" applyAlignment="1" applyProtection="1">
      <alignment/>
      <protection/>
    </xf>
    <xf numFmtId="0" fontId="18" fillId="0" borderId="17" xfId="0" applyFont="1" applyFill="1" applyBorder="1" applyAlignment="1" applyProtection="1">
      <alignment horizontal="left"/>
      <protection/>
    </xf>
    <xf numFmtId="0" fontId="18" fillId="0" borderId="18" xfId="0" applyNumberFormat="1" applyFont="1" applyFill="1" applyBorder="1" applyAlignment="1" applyProtection="1">
      <alignment/>
      <protection/>
    </xf>
    <xf numFmtId="0" fontId="18" fillId="0" borderId="19" xfId="0" applyFont="1" applyFill="1" applyBorder="1" applyAlignment="1" applyProtection="1">
      <alignment/>
      <protection/>
    </xf>
    <xf numFmtId="0" fontId="18" fillId="0" borderId="0" xfId="0" applyFont="1" applyFill="1" applyBorder="1" applyAlignment="1" applyProtection="1">
      <alignment horizontal="left"/>
      <protection/>
    </xf>
    <xf numFmtId="0" fontId="18" fillId="0" borderId="20" xfId="0" applyNumberFormat="1" applyFont="1" applyFill="1" applyBorder="1" applyAlignment="1" applyProtection="1">
      <alignment/>
      <protection/>
    </xf>
    <xf numFmtId="0" fontId="21" fillId="0" borderId="0" xfId="0" applyFont="1" applyFill="1" applyBorder="1" applyAlignment="1" applyProtection="1">
      <alignment/>
      <protection/>
    </xf>
    <xf numFmtId="0" fontId="21" fillId="0" borderId="19" xfId="0" applyFont="1" applyFill="1" applyBorder="1" applyAlignment="1" applyProtection="1">
      <alignment/>
      <protection/>
    </xf>
    <xf numFmtId="0" fontId="18" fillId="0" borderId="21" xfId="0" applyFont="1" applyFill="1" applyBorder="1" applyAlignment="1" applyProtection="1">
      <alignment/>
      <protection/>
    </xf>
    <xf numFmtId="0" fontId="18" fillId="0" borderId="22" xfId="0" applyFont="1" applyFill="1" applyBorder="1" applyAlignment="1" applyProtection="1">
      <alignment/>
      <protection/>
    </xf>
    <xf numFmtId="0" fontId="18" fillId="0" borderId="22" xfId="0" applyFont="1" applyFill="1" applyBorder="1" applyAlignment="1" applyProtection="1">
      <alignment horizontal="center"/>
      <protection/>
    </xf>
    <xf numFmtId="0" fontId="18" fillId="0" borderId="22" xfId="0" applyFont="1" applyFill="1" applyBorder="1" applyAlignment="1" applyProtection="1">
      <alignment horizontal="left"/>
      <protection/>
    </xf>
    <xf numFmtId="0" fontId="18" fillId="0" borderId="23" xfId="0" applyNumberFormat="1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1" fontId="0" fillId="0" borderId="0" xfId="0" applyNumberFormat="1" applyFont="1" applyFill="1" applyBorder="1" applyAlignment="1" applyProtection="1">
      <alignment horizontal="left"/>
      <protection/>
    </xf>
    <xf numFmtId="0" fontId="21" fillId="0" borderId="0" xfId="0" applyFont="1" applyFill="1" applyBorder="1" applyAlignment="1" applyProtection="1">
      <alignment horizontal="right"/>
      <protection/>
    </xf>
    <xf numFmtId="173" fontId="21" fillId="0" borderId="0" xfId="0" applyNumberFormat="1" applyFont="1" applyFill="1" applyAlignment="1">
      <alignment/>
    </xf>
    <xf numFmtId="0" fontId="21" fillId="0" borderId="0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 wrapText="1"/>
      <protection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21" fillId="0" borderId="0" xfId="0" applyFont="1" applyBorder="1" applyAlignment="1" applyProtection="1">
      <alignment horizontal="right" wrapText="1"/>
      <protection/>
    </xf>
    <xf numFmtId="0" fontId="20" fillId="25" borderId="0" xfId="0" applyFont="1" applyFill="1" applyBorder="1" applyAlignment="1" applyProtection="1">
      <alignment vertical="center"/>
      <protection locked="0"/>
    </xf>
    <xf numFmtId="0" fontId="18" fillId="25" borderId="0" xfId="0" applyFont="1" applyFill="1" applyBorder="1" applyAlignment="1" applyProtection="1">
      <alignment horizontal="center" vertical="center"/>
      <protection locked="0"/>
    </xf>
    <xf numFmtId="1" fontId="18" fillId="25" borderId="0" xfId="0" applyNumberFormat="1" applyFont="1" applyFill="1" applyBorder="1" applyAlignment="1" applyProtection="1">
      <alignment horizontal="center" vertical="center" wrapText="1"/>
      <protection locked="0"/>
    </xf>
    <xf numFmtId="0" fontId="20" fillId="25" borderId="0" xfId="0" applyFont="1" applyFill="1" applyBorder="1" applyAlignment="1" applyProtection="1">
      <alignment horizontal="center" vertical="center"/>
      <protection locked="0"/>
    </xf>
    <xf numFmtId="1" fontId="20" fillId="25" borderId="0" xfId="0" applyNumberFormat="1" applyFont="1" applyFill="1" applyBorder="1" applyAlignment="1" applyProtection="1">
      <alignment horizontal="center" vertical="center"/>
      <protection locked="0"/>
    </xf>
    <xf numFmtId="10" fontId="20" fillId="25" borderId="0" xfId="0" applyNumberFormat="1" applyFont="1" applyFill="1" applyBorder="1" applyAlignment="1" applyProtection="1">
      <alignment horizontal="center" vertical="center"/>
      <protection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0" fillId="0" borderId="11" xfId="0" applyFont="1" applyFill="1" applyBorder="1" applyAlignment="1">
      <alignment vertical="center"/>
    </xf>
    <xf numFmtId="0" fontId="18" fillId="0" borderId="15" xfId="0" applyFont="1" applyFill="1" applyBorder="1" applyAlignment="1" applyProtection="1">
      <alignment horizontal="center" vertical="center" wrapText="1"/>
      <protection locked="0"/>
    </xf>
    <xf numFmtId="1" fontId="18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11" xfId="0" applyFont="1" applyFill="1" applyBorder="1" applyAlignment="1" applyProtection="1">
      <alignment horizontal="center" vertical="center"/>
      <protection locked="0"/>
    </xf>
    <xf numFmtId="1" fontId="18" fillId="0" borderId="11" xfId="0" applyNumberFormat="1" applyFont="1" applyFill="1" applyBorder="1" applyAlignment="1" applyProtection="1">
      <alignment horizontal="center" vertical="center"/>
      <protection locked="0"/>
    </xf>
    <xf numFmtId="10" fontId="18" fillId="0" borderId="11" xfId="0" applyNumberFormat="1" applyFont="1" applyFill="1" applyBorder="1" applyAlignment="1" applyProtection="1">
      <alignment horizontal="center" vertical="center"/>
      <protection/>
    </xf>
    <xf numFmtId="0" fontId="20" fillId="0" borderId="11" xfId="0" applyFont="1" applyFill="1" applyBorder="1" applyAlignment="1">
      <alignment/>
    </xf>
    <xf numFmtId="0" fontId="20" fillId="0" borderId="11" xfId="0" applyFont="1" applyFill="1" applyBorder="1" applyAlignment="1" applyProtection="1">
      <alignment vertical="center"/>
      <protection locked="0"/>
    </xf>
    <xf numFmtId="0" fontId="18" fillId="0" borderId="14" xfId="0" applyFont="1" applyFill="1" applyBorder="1" applyAlignment="1" applyProtection="1">
      <alignment horizontal="center" vertical="center"/>
      <protection locked="0"/>
    </xf>
    <xf numFmtId="1" fontId="18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11" xfId="0" applyFont="1" applyFill="1" applyBorder="1" applyAlignment="1" applyProtection="1">
      <alignment horizontal="center" vertical="center"/>
      <protection locked="0"/>
    </xf>
    <xf numFmtId="1" fontId="20" fillId="0" borderId="15" xfId="0" applyNumberFormat="1" applyFont="1" applyFill="1" applyBorder="1" applyAlignment="1" applyProtection="1">
      <alignment horizontal="center" vertical="center"/>
      <protection locked="0"/>
    </xf>
    <xf numFmtId="10" fontId="20" fillId="0" borderId="11" xfId="0" applyNumberFormat="1" applyFont="1" applyFill="1" applyBorder="1" applyAlignment="1" applyProtection="1">
      <alignment horizontal="center" vertical="center"/>
      <protection/>
    </xf>
    <xf numFmtId="0" fontId="18" fillId="25" borderId="10" xfId="0" applyFont="1" applyFill="1" applyBorder="1" applyAlignment="1" applyProtection="1">
      <alignment horizontal="center" vertical="center" wrapText="1"/>
      <protection locked="0"/>
    </xf>
    <xf numFmtId="0" fontId="18" fillId="0" borderId="15" xfId="0" applyFont="1" applyFill="1" applyBorder="1" applyAlignment="1" applyProtection="1">
      <alignment horizontal="center" vertical="center"/>
      <protection locked="0"/>
    </xf>
    <xf numFmtId="0" fontId="19" fillId="26" borderId="0" xfId="0" applyFont="1" applyFill="1" applyAlignment="1">
      <alignment horizontal="left"/>
    </xf>
    <xf numFmtId="0" fontId="20" fillId="25" borderId="15" xfId="0" applyFont="1" applyFill="1" applyBorder="1" applyAlignment="1">
      <alignment vertical="center"/>
    </xf>
    <xf numFmtId="0" fontId="20" fillId="25" borderId="15" xfId="0" applyFont="1" applyFill="1" applyBorder="1" applyAlignment="1">
      <alignment/>
    </xf>
    <xf numFmtId="0" fontId="20" fillId="25" borderId="15" xfId="0" applyFont="1" applyFill="1" applyBorder="1" applyAlignment="1" applyProtection="1">
      <alignment vertical="center"/>
      <protection locked="0"/>
    </xf>
    <xf numFmtId="0" fontId="20" fillId="25" borderId="0" xfId="0" applyFont="1" applyFill="1" applyBorder="1" applyAlignment="1" applyProtection="1">
      <alignment horizontal="center" vertical="center" wrapText="1"/>
      <protection locked="0"/>
    </xf>
    <xf numFmtId="0" fontId="20" fillId="0" borderId="15" xfId="0" applyFont="1" applyFill="1" applyBorder="1" applyAlignment="1">
      <alignment vertical="center"/>
    </xf>
    <xf numFmtId="0" fontId="20" fillId="0" borderId="15" xfId="0" applyFont="1" applyFill="1" applyBorder="1" applyAlignment="1">
      <alignment/>
    </xf>
    <xf numFmtId="0" fontId="20" fillId="0" borderId="24" xfId="0" applyFont="1" applyFill="1" applyBorder="1" applyAlignment="1" applyProtection="1">
      <alignment vertical="center"/>
      <protection locked="0"/>
    </xf>
    <xf numFmtId="0" fontId="24" fillId="26" borderId="0" xfId="0" applyFont="1" applyFill="1" applyAlignment="1">
      <alignment horizontal="left"/>
    </xf>
    <xf numFmtId="0" fontId="18" fillId="0" borderId="12" xfId="0" applyFont="1" applyFill="1" applyBorder="1" applyAlignment="1" applyProtection="1">
      <alignment horizontal="center" vertical="center"/>
      <protection locked="0"/>
    </xf>
    <xf numFmtId="0" fontId="20" fillId="0" borderId="15" xfId="0" applyFont="1" applyFill="1" applyBorder="1" applyAlignment="1" applyProtection="1">
      <alignment vertical="center"/>
      <protection locked="0"/>
    </xf>
    <xf numFmtId="0" fontId="20" fillId="26" borderId="11" xfId="0" applyFont="1" applyFill="1" applyBorder="1" applyAlignment="1">
      <alignment/>
    </xf>
    <xf numFmtId="0" fontId="20" fillId="0" borderId="25" xfId="0" applyFont="1" applyFill="1" applyBorder="1" applyAlignment="1" applyProtection="1">
      <alignment horizontal="center" vertical="center" wrapText="1"/>
      <protection locked="0"/>
    </xf>
    <xf numFmtId="0" fontId="20" fillId="0" borderId="26" xfId="0" applyFont="1" applyFill="1" applyBorder="1" applyAlignment="1" applyProtection="1">
      <alignment horizontal="center" vertical="center" wrapText="1"/>
      <protection locked="0"/>
    </xf>
    <xf numFmtId="0" fontId="20" fillId="0" borderId="27" xfId="0" applyFont="1" applyFill="1" applyBorder="1" applyAlignment="1" applyProtection="1">
      <alignment horizontal="center" vertical="center" wrapText="1"/>
      <protection locked="0"/>
    </xf>
    <xf numFmtId="0" fontId="19" fillId="0" borderId="11" xfId="0" applyFont="1" applyFill="1" applyBorder="1" applyAlignment="1" applyProtection="1">
      <alignment horizontal="center" vertical="center" wrapText="1"/>
      <protection/>
    </xf>
    <xf numFmtId="0" fontId="20" fillId="0" borderId="28" xfId="0" applyFont="1" applyFill="1" applyBorder="1" applyAlignment="1" applyProtection="1">
      <alignment horizontal="center" vertical="center"/>
      <protection/>
    </xf>
    <xf numFmtId="0" fontId="20" fillId="0" borderId="11" xfId="0" applyFont="1" applyFill="1" applyBorder="1" applyAlignment="1" applyProtection="1">
      <alignment horizontal="center" vertical="center" wrapText="1"/>
      <protection/>
    </xf>
    <xf numFmtId="172" fontId="20" fillId="0" borderId="12" xfId="0" applyNumberFormat="1" applyFont="1" applyFill="1" applyBorder="1" applyAlignment="1" applyProtection="1">
      <alignment horizontal="center" vertical="center"/>
      <protection/>
    </xf>
    <xf numFmtId="0" fontId="20" fillId="0" borderId="12" xfId="0" applyFont="1" applyFill="1" applyBorder="1" applyAlignment="1" applyProtection="1">
      <alignment horizontal="center" wrapText="1"/>
      <protection/>
    </xf>
    <xf numFmtId="172" fontId="20" fillId="0" borderId="12" xfId="0" applyNumberFormat="1" applyFont="1" applyFill="1" applyBorder="1" applyAlignment="1" applyProtection="1">
      <alignment horizontal="center" vertical="center" wrapText="1"/>
      <protection/>
    </xf>
    <xf numFmtId="172" fontId="20" fillId="25" borderId="12" xfId="0" applyNumberFormat="1" applyFont="1" applyFill="1" applyBorder="1" applyAlignment="1" applyProtection="1">
      <alignment horizontal="center" vertical="center" wrapText="1"/>
      <protection/>
    </xf>
    <xf numFmtId="0" fontId="20" fillId="0" borderId="12" xfId="0" applyFont="1" applyFill="1" applyBorder="1" applyAlignment="1" applyProtection="1">
      <alignment horizontal="center" vertical="center" wrapText="1"/>
      <protection/>
    </xf>
    <xf numFmtId="10" fontId="20" fillId="0" borderId="10" xfId="0" applyNumberFormat="1" applyFont="1" applyFill="1" applyBorder="1" applyAlignment="1" applyProtection="1">
      <alignment horizontal="center" vertical="center" wrapText="1"/>
      <protection/>
    </xf>
    <xf numFmtId="10" fontId="20" fillId="0" borderId="11" xfId="0" applyNumberFormat="1" applyFont="1" applyFill="1" applyBorder="1" applyAlignment="1" applyProtection="1">
      <alignment horizontal="center" vertical="center" wrapText="1"/>
      <protection/>
    </xf>
    <xf numFmtId="10" fontId="20" fillId="0" borderId="15" xfId="0" applyNumberFormat="1" applyFont="1" applyFill="1" applyBorder="1" applyAlignment="1" applyProtection="1">
      <alignment horizontal="center" vertical="center"/>
      <protection/>
    </xf>
    <xf numFmtId="0" fontId="20" fillId="25" borderId="12" xfId="0" applyFont="1" applyFill="1" applyBorder="1" applyAlignment="1" applyProtection="1">
      <alignment horizontal="center" vertical="center" wrapText="1"/>
      <protection locked="0"/>
    </xf>
    <xf numFmtId="0" fontId="20" fillId="25" borderId="29" xfId="0" applyFont="1" applyFill="1" applyBorder="1" applyAlignment="1" applyProtection="1">
      <alignment horizontal="center" vertical="center" wrapText="1"/>
      <protection locked="0"/>
    </xf>
    <xf numFmtId="0" fontId="20" fillId="25" borderId="30" xfId="0" applyFont="1" applyFill="1" applyBorder="1" applyAlignment="1" applyProtection="1">
      <alignment horizontal="center" vertical="center" wrapText="1"/>
      <protection locked="0"/>
    </xf>
    <xf numFmtId="0" fontId="20" fillId="25" borderId="31" xfId="0" applyFont="1" applyFill="1" applyBorder="1" applyAlignment="1" applyProtection="1">
      <alignment horizontal="center" vertical="center" wrapText="1"/>
      <protection locked="0"/>
    </xf>
    <xf numFmtId="0" fontId="20" fillId="25" borderId="27" xfId="0" applyFont="1" applyFill="1" applyBorder="1" applyAlignment="1" applyProtection="1">
      <alignment horizontal="center" vertical="center" wrapText="1"/>
      <protection locked="0"/>
    </xf>
    <xf numFmtId="0" fontId="20" fillId="25" borderId="32" xfId="0" applyFont="1" applyFill="1" applyBorder="1" applyAlignment="1" applyProtection="1">
      <alignment horizontal="center" vertical="center" wrapText="1"/>
      <protection locked="0"/>
    </xf>
    <xf numFmtId="0" fontId="20" fillId="25" borderId="28" xfId="0" applyFont="1" applyFill="1" applyBorder="1" applyAlignment="1" applyProtection="1">
      <alignment horizontal="center" vertical="center" wrapText="1"/>
      <protection locked="0"/>
    </xf>
    <xf numFmtId="0" fontId="20" fillId="25" borderId="11" xfId="0" applyFont="1" applyFill="1" applyBorder="1" applyAlignment="1" applyProtection="1">
      <alignment horizontal="center" vertical="center" wrapText="1"/>
      <protection locked="0"/>
    </xf>
    <xf numFmtId="0" fontId="20" fillId="25" borderId="25" xfId="0" applyFont="1" applyFill="1" applyBorder="1" applyAlignment="1" applyProtection="1">
      <alignment horizontal="center" vertical="center" wrapText="1"/>
      <protection locked="0"/>
    </xf>
    <xf numFmtId="0" fontId="20" fillId="25" borderId="33" xfId="0" applyFont="1" applyFill="1" applyBorder="1" applyAlignment="1" applyProtection="1">
      <alignment horizontal="center" vertical="center" wrapText="1"/>
      <protection locked="0"/>
    </xf>
    <xf numFmtId="0" fontId="20" fillId="26" borderId="12" xfId="0" applyFont="1" applyFill="1" applyBorder="1" applyAlignment="1" applyProtection="1">
      <alignment horizontal="center" vertical="center" wrapText="1"/>
      <protection locked="0"/>
    </xf>
    <xf numFmtId="0" fontId="20" fillId="26" borderId="28" xfId="0" applyFont="1" applyFill="1" applyBorder="1" applyAlignment="1" applyProtection="1">
      <alignment horizontal="center" vertical="center" wrapText="1"/>
      <protection locked="0"/>
    </xf>
    <xf numFmtId="0" fontId="20" fillId="25" borderId="26" xfId="0" applyFont="1" applyFill="1" applyBorder="1" applyAlignment="1" applyProtection="1">
      <alignment horizontal="center" vertical="center" wrapText="1"/>
      <protection locked="0"/>
    </xf>
    <xf numFmtId="0" fontId="20" fillId="25" borderId="34" xfId="0" applyFont="1" applyFill="1" applyBorder="1" applyAlignment="1" applyProtection="1">
      <alignment horizontal="center" vertical="center" wrapText="1"/>
      <protection locked="0"/>
    </xf>
    <xf numFmtId="0" fontId="20" fillId="25" borderId="35" xfId="0" applyFont="1" applyFill="1" applyBorder="1" applyAlignment="1" applyProtection="1">
      <alignment horizontal="center" vertical="center" wrapText="1"/>
      <protection locked="0"/>
    </xf>
    <xf numFmtId="0" fontId="20" fillId="25" borderId="36" xfId="0" applyFont="1" applyFill="1" applyBorder="1" applyAlignment="1" applyProtection="1">
      <alignment horizontal="center" vertical="center" wrapText="1"/>
      <protection locked="0"/>
    </xf>
    <xf numFmtId="0" fontId="20" fillId="0" borderId="30" xfId="0" applyFont="1" applyFill="1" applyBorder="1" applyAlignment="1" applyProtection="1">
      <alignment horizontal="center" vertical="center" wrapText="1"/>
      <protection locked="0"/>
    </xf>
    <xf numFmtId="0" fontId="20" fillId="0" borderId="32" xfId="0" applyFont="1" applyFill="1" applyBorder="1" applyAlignment="1" applyProtection="1">
      <alignment horizontal="center" vertical="center" wrapText="1"/>
      <protection locked="0"/>
    </xf>
    <xf numFmtId="0" fontId="20" fillId="0" borderId="37" xfId="0" applyFont="1" applyFill="1" applyBorder="1" applyAlignment="1" applyProtection="1">
      <alignment horizontal="center" vertical="center" wrapText="1"/>
      <protection locked="0"/>
    </xf>
    <xf numFmtId="0" fontId="20" fillId="26" borderId="25" xfId="0" applyFont="1" applyFill="1" applyBorder="1" applyAlignment="1" applyProtection="1">
      <alignment horizontal="center" vertical="center" wrapText="1"/>
      <protection locked="0"/>
    </xf>
    <xf numFmtId="0" fontId="20" fillId="26" borderId="26" xfId="0" applyFont="1" applyFill="1" applyBorder="1" applyAlignment="1" applyProtection="1">
      <alignment horizontal="center" vertical="center" wrapText="1"/>
      <protection locked="0"/>
    </xf>
    <xf numFmtId="0" fontId="20" fillId="26" borderId="27" xfId="0" applyFont="1" applyFill="1" applyBorder="1" applyAlignment="1" applyProtection="1">
      <alignment horizontal="center" vertical="center" wrapText="1"/>
      <protection locked="0"/>
    </xf>
    <xf numFmtId="0" fontId="20" fillId="25" borderId="38" xfId="0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horizont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 1" xfId="55"/>
    <cellStyle name="Título 2" xfId="56"/>
    <cellStyle name="Título 3" xfId="57"/>
    <cellStyle name="Título 4" xfId="58"/>
    <cellStyle name="Título 5" xfId="59"/>
    <cellStyle name="Total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a%20Instancia\Correg\Docs\produtividade\para%20publicar\produtividade%202011\vitaliciados%20-%20meta%207%20-%20VARA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aras"/>
      <sheetName val="juizes"/>
      <sheetName val="Plan3"/>
      <sheetName val="REF"/>
      <sheetName val="EF"/>
      <sheetName val="F"/>
      <sheetName val=""/>
      <sheetName val="v"/>
      <sheetName val="va"/>
      <sheetName val="var"/>
      <sheetName val="vara"/>
      <sheetName val="#REF"/>
      <sheetName val="#RE"/>
      <sheetName val="#R"/>
      <sheetName val="#"/>
    </sheetNames>
    <sheetDataSet>
      <sheetData sheetId="0">
        <row r="4">
          <cell r="A4">
            <v>1</v>
          </cell>
          <cell r="B4" t="str">
            <v>1ª VT Recife</v>
          </cell>
        </row>
        <row r="5">
          <cell r="A5">
            <v>2</v>
          </cell>
          <cell r="B5" t="str">
            <v>2ª VT Recife</v>
          </cell>
        </row>
        <row r="6">
          <cell r="A6">
            <v>3</v>
          </cell>
          <cell r="B6" t="str">
            <v>3ª VT Recife</v>
          </cell>
        </row>
        <row r="7">
          <cell r="A7">
            <v>4</v>
          </cell>
          <cell r="B7" t="str">
            <v>4ª VT Recife</v>
          </cell>
        </row>
        <row r="8">
          <cell r="A8">
            <v>5</v>
          </cell>
          <cell r="B8" t="str">
            <v>5ª VT Recife</v>
          </cell>
        </row>
        <row r="9">
          <cell r="A9">
            <v>6</v>
          </cell>
          <cell r="B9" t="str">
            <v>6ª VT Recife</v>
          </cell>
        </row>
        <row r="10">
          <cell r="A10">
            <v>7</v>
          </cell>
          <cell r="B10" t="str">
            <v>7ª VT Recife</v>
          </cell>
        </row>
        <row r="11">
          <cell r="A11">
            <v>8</v>
          </cell>
          <cell r="B11" t="str">
            <v>8ª VT Recife</v>
          </cell>
        </row>
        <row r="12">
          <cell r="A12">
            <v>9</v>
          </cell>
          <cell r="B12" t="str">
            <v>9ª VT Recife</v>
          </cell>
        </row>
        <row r="13">
          <cell r="A13">
            <v>10</v>
          </cell>
          <cell r="B13" t="str">
            <v>10ª VT Recife</v>
          </cell>
        </row>
        <row r="14">
          <cell r="A14">
            <v>11</v>
          </cell>
          <cell r="B14" t="str">
            <v>11ª VT Recife</v>
          </cell>
        </row>
        <row r="15">
          <cell r="A15">
            <v>12</v>
          </cell>
          <cell r="B15" t="str">
            <v>12ª VT Recife</v>
          </cell>
        </row>
        <row r="16">
          <cell r="A16">
            <v>13</v>
          </cell>
          <cell r="B16" t="str">
            <v>13ª VT Recife</v>
          </cell>
        </row>
        <row r="17">
          <cell r="A17">
            <v>14</v>
          </cell>
          <cell r="B17" t="str">
            <v>14ª VT Recife</v>
          </cell>
        </row>
        <row r="18">
          <cell r="A18">
            <v>15</v>
          </cell>
          <cell r="B18" t="str">
            <v>15ª VT Recife</v>
          </cell>
        </row>
        <row r="19">
          <cell r="A19">
            <v>16</v>
          </cell>
          <cell r="B19" t="str">
            <v>16ª VT Recife</v>
          </cell>
        </row>
        <row r="20">
          <cell r="A20">
            <v>17</v>
          </cell>
          <cell r="B20" t="str">
            <v>17ª VT Recife</v>
          </cell>
        </row>
        <row r="21">
          <cell r="A21">
            <v>18</v>
          </cell>
          <cell r="B21" t="str">
            <v>18ª VT Recife</v>
          </cell>
        </row>
        <row r="22">
          <cell r="A22">
            <v>19</v>
          </cell>
          <cell r="B22" t="str">
            <v>19ª VT Recife</v>
          </cell>
        </row>
        <row r="23">
          <cell r="A23">
            <v>20</v>
          </cell>
          <cell r="B23" t="str">
            <v>20ª VT Recife</v>
          </cell>
        </row>
        <row r="24">
          <cell r="A24">
            <v>21</v>
          </cell>
          <cell r="B24" t="str">
            <v>21ª VT Recife</v>
          </cell>
        </row>
        <row r="25">
          <cell r="A25">
            <v>22</v>
          </cell>
          <cell r="B25" t="str">
            <v>22ª VT Recife</v>
          </cell>
        </row>
        <row r="26">
          <cell r="A26">
            <v>23</v>
          </cell>
          <cell r="B26" t="str">
            <v>23ª VT Recife</v>
          </cell>
        </row>
        <row r="27">
          <cell r="A27">
            <v>24</v>
          </cell>
          <cell r="B27" t="str">
            <v>1ª VT Barreiros</v>
          </cell>
        </row>
        <row r="28">
          <cell r="A28">
            <v>25</v>
          </cell>
          <cell r="B28" t="str">
            <v>2ª VT Barreiros</v>
          </cell>
        </row>
        <row r="29">
          <cell r="A29">
            <v>26</v>
          </cell>
          <cell r="B29" t="str">
            <v>1ª VT Cabo</v>
          </cell>
        </row>
        <row r="30">
          <cell r="A30">
            <v>27</v>
          </cell>
          <cell r="B30" t="str">
            <v>2ª VT Cabo</v>
          </cell>
        </row>
        <row r="31">
          <cell r="A31">
            <v>28</v>
          </cell>
          <cell r="B31" t="str">
            <v>1ª VT Caruaru</v>
          </cell>
        </row>
        <row r="32">
          <cell r="A32">
            <v>29</v>
          </cell>
          <cell r="B32" t="str">
            <v>2ª VT Caruaru</v>
          </cell>
        </row>
        <row r="33">
          <cell r="A33">
            <v>30</v>
          </cell>
          <cell r="B33" t="str">
            <v>3ª VT Caruaru</v>
          </cell>
        </row>
        <row r="34">
          <cell r="A34">
            <v>31</v>
          </cell>
          <cell r="B34" t="str">
            <v>1ª VT Igarassu</v>
          </cell>
        </row>
        <row r="35">
          <cell r="A35">
            <v>32</v>
          </cell>
          <cell r="B35" t="str">
            <v>1ª VT Ipojuca</v>
          </cell>
        </row>
        <row r="36">
          <cell r="A36">
            <v>33</v>
          </cell>
          <cell r="B36" t="str">
            <v>2ª VT Ipojuca</v>
          </cell>
        </row>
        <row r="37">
          <cell r="A37">
            <v>34</v>
          </cell>
          <cell r="B37" t="str">
            <v>1ª VT Jaboatão</v>
          </cell>
        </row>
        <row r="38">
          <cell r="A38">
            <v>35</v>
          </cell>
          <cell r="B38" t="str">
            <v>2ª VT Jaboatão</v>
          </cell>
        </row>
        <row r="39">
          <cell r="A39">
            <v>36</v>
          </cell>
          <cell r="B39" t="str">
            <v>3ª VT Jaboatão</v>
          </cell>
        </row>
        <row r="40">
          <cell r="A40">
            <v>37</v>
          </cell>
          <cell r="B40" t="str">
            <v>4ª VT Jaboatão</v>
          </cell>
        </row>
        <row r="41">
          <cell r="A41">
            <v>38</v>
          </cell>
          <cell r="B41" t="str">
            <v>1ª VT Olinda</v>
          </cell>
        </row>
        <row r="42">
          <cell r="A42">
            <v>39</v>
          </cell>
          <cell r="B42" t="str">
            <v>2ª VT Olinda</v>
          </cell>
        </row>
        <row r="43">
          <cell r="A43">
            <v>40</v>
          </cell>
          <cell r="B43" t="str">
            <v>3ª VT Olinda</v>
          </cell>
        </row>
        <row r="44">
          <cell r="A44">
            <v>41</v>
          </cell>
          <cell r="B44" t="str">
            <v>1ª VT Paulista</v>
          </cell>
        </row>
        <row r="45">
          <cell r="A45">
            <v>42</v>
          </cell>
          <cell r="B45" t="str">
            <v>2ª VT Paulista</v>
          </cell>
        </row>
        <row r="46">
          <cell r="A46">
            <v>43</v>
          </cell>
          <cell r="B46" t="str">
            <v>1ª VT Petrolina</v>
          </cell>
        </row>
        <row r="47">
          <cell r="A47">
            <v>44</v>
          </cell>
          <cell r="B47" t="str">
            <v>2ª VT Petrolina</v>
          </cell>
        </row>
        <row r="48">
          <cell r="A48">
            <v>45</v>
          </cell>
          <cell r="B48" t="str">
            <v>VT Araripina</v>
          </cell>
        </row>
        <row r="49">
          <cell r="A49">
            <v>46</v>
          </cell>
          <cell r="B49" t="str">
            <v>VT Belo Jardim</v>
          </cell>
        </row>
        <row r="50">
          <cell r="A50">
            <v>47</v>
          </cell>
          <cell r="B50" t="str">
            <v>VT Carpina</v>
          </cell>
        </row>
        <row r="51">
          <cell r="A51">
            <v>48</v>
          </cell>
          <cell r="B51" t="str">
            <v>VT Catende</v>
          </cell>
        </row>
        <row r="52">
          <cell r="A52">
            <v>49</v>
          </cell>
          <cell r="B52" t="str">
            <v>VT Escada</v>
          </cell>
        </row>
        <row r="53">
          <cell r="A53">
            <v>50</v>
          </cell>
          <cell r="B53" t="str">
            <v>VT Garanhuns</v>
          </cell>
        </row>
        <row r="54">
          <cell r="A54">
            <v>51</v>
          </cell>
          <cell r="B54" t="str">
            <v>VT Goiana</v>
          </cell>
        </row>
        <row r="55">
          <cell r="A55">
            <v>52</v>
          </cell>
          <cell r="B55" t="str">
            <v>VT Limoeiro</v>
          </cell>
        </row>
        <row r="56">
          <cell r="A56">
            <v>53</v>
          </cell>
          <cell r="B56" t="str">
            <v>VT Nazaré</v>
          </cell>
        </row>
        <row r="57">
          <cell r="A57">
            <v>54</v>
          </cell>
          <cell r="B57" t="str">
            <v>1ª VT Palmares</v>
          </cell>
        </row>
        <row r="58">
          <cell r="A58">
            <v>55</v>
          </cell>
          <cell r="B58" t="str">
            <v>VT Pesqueira</v>
          </cell>
        </row>
        <row r="59">
          <cell r="A59">
            <v>56</v>
          </cell>
          <cell r="B59" t="str">
            <v>1ª VT Ribeirão</v>
          </cell>
        </row>
        <row r="60">
          <cell r="A60">
            <v>57</v>
          </cell>
          <cell r="B60" t="str">
            <v>VT S. Lourenço </v>
          </cell>
        </row>
        <row r="61">
          <cell r="A61">
            <v>58</v>
          </cell>
          <cell r="B61" t="str">
            <v>VT S.Talhada</v>
          </cell>
        </row>
        <row r="62">
          <cell r="A62">
            <v>59</v>
          </cell>
          <cell r="B62" t="str">
            <v>VT Salgueiro</v>
          </cell>
        </row>
        <row r="63">
          <cell r="A63">
            <v>60</v>
          </cell>
          <cell r="B63" t="str">
            <v>VT Timbaúba</v>
          </cell>
        </row>
        <row r="64">
          <cell r="A64">
            <v>61</v>
          </cell>
          <cell r="B64" t="str">
            <v>VT Vitória</v>
          </cell>
        </row>
        <row r="65">
          <cell r="A65">
            <v>62</v>
          </cell>
          <cell r="B65" t="str">
            <v>PAJT Floresta</v>
          </cell>
        </row>
        <row r="66">
          <cell r="A66">
            <v>63</v>
          </cell>
          <cell r="B66" t="str">
            <v>PAJT Sertânia</v>
          </cell>
        </row>
        <row r="67">
          <cell r="A67">
            <v>64</v>
          </cell>
          <cell r="B67" t="str">
            <v>PAJT Surubim</v>
          </cell>
        </row>
        <row r="68">
          <cell r="A68">
            <v>65</v>
          </cell>
          <cell r="B68" t="str">
            <v>3ª VT Ipojuca</v>
          </cell>
        </row>
        <row r="69">
          <cell r="A69">
            <v>66</v>
          </cell>
          <cell r="B69" t="str">
            <v>5ª VT Jaboatão</v>
          </cell>
        </row>
        <row r="70">
          <cell r="A70">
            <v>67</v>
          </cell>
          <cell r="B70" t="str">
            <v>2ª VT Igarassu</v>
          </cell>
        </row>
        <row r="71">
          <cell r="A71">
            <v>68</v>
          </cell>
          <cell r="B71" t="str">
            <v>3ª VT Petrolina</v>
          </cell>
        </row>
        <row r="72">
          <cell r="A72">
            <v>69</v>
          </cell>
          <cell r="B72" t="str">
            <v>2ª VT Palmares</v>
          </cell>
        </row>
        <row r="73">
          <cell r="A73">
            <v>70</v>
          </cell>
          <cell r="B73" t="str">
            <v>2ª VT Ribeirão</v>
          </cell>
        </row>
        <row r="74">
          <cell r="A74">
            <v>71</v>
          </cell>
        </row>
        <row r="75">
          <cell r="A75">
            <v>72</v>
          </cell>
        </row>
        <row r="76">
          <cell r="A76">
            <v>73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549"/>
  <sheetViews>
    <sheetView tabSelected="1" zoomScale="90" zoomScaleNormal="90" workbookViewId="0" topLeftCell="A1">
      <pane xSplit="2" ySplit="4" topLeftCell="C437" activePane="bottomRight" state="frozen"/>
      <selection pane="topLeft" activeCell="A1" sqref="A1"/>
      <selection pane="topRight" activeCell="C1" sqref="C1"/>
      <selection pane="bottomLeft" activeCell="A464" sqref="A464"/>
      <selection pane="bottomRight" activeCell="B434" sqref="B434:B436"/>
    </sheetView>
  </sheetViews>
  <sheetFormatPr defaultColWidth="9.140625" defaultRowHeight="12.75" customHeight="1"/>
  <cols>
    <col min="1" max="1" width="6.140625" style="1" customWidth="1"/>
    <col min="2" max="2" width="18.57421875" style="2" customWidth="1"/>
    <col min="3" max="3" width="13.8515625" style="3" customWidth="1"/>
    <col min="4" max="4" width="5.00390625" style="1" customWidth="1"/>
    <col min="5" max="5" width="16.28125" style="4" customWidth="1"/>
    <col min="6" max="6" width="5.8515625" style="1" customWidth="1"/>
    <col min="7" max="7" width="6.7109375" style="1" customWidth="1"/>
    <col min="8" max="8" width="6.8515625" style="1" customWidth="1"/>
    <col min="9" max="9" width="6.57421875" style="1" customWidth="1"/>
    <col min="10" max="10" width="8.140625" style="1" customWidth="1"/>
    <col min="11" max="11" width="7.8515625" style="1" customWidth="1"/>
    <col min="12" max="12" width="5.421875" style="1" customWidth="1"/>
    <col min="13" max="13" width="6.140625" style="1" customWidth="1"/>
    <col min="14" max="14" width="6.28125" style="1" customWidth="1"/>
    <col min="15" max="15" width="9.140625" style="1" customWidth="1"/>
    <col min="16" max="16" width="6.7109375" style="1" customWidth="1"/>
    <col min="17" max="17" width="7.421875" style="5" customWidth="1"/>
    <col min="18" max="18" width="7.00390625" style="5" customWidth="1"/>
    <col min="19" max="19" width="10.7109375" style="1" customWidth="1"/>
    <col min="20" max="20" width="7.8515625" style="1" customWidth="1"/>
    <col min="21" max="21" width="7.140625" style="1" customWidth="1"/>
    <col min="22" max="22" width="8.421875" style="1" customWidth="1"/>
    <col min="23" max="23" width="11.00390625" style="6" customWidth="1"/>
    <col min="24" max="28" width="9.57421875" style="2" customWidth="1"/>
    <col min="29" max="29" width="15.57421875" style="2" customWidth="1"/>
    <col min="30" max="16384" width="9.57421875" style="2" customWidth="1"/>
  </cols>
  <sheetData>
    <row r="1" spans="2:41" s="7" customFormat="1" ht="12.75" customHeight="1">
      <c r="B1" s="119" t="s">
        <v>204</v>
      </c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</row>
    <row r="2" spans="2:23" ht="12.75" customHeight="1">
      <c r="B2" s="120" t="s">
        <v>0</v>
      </c>
      <c r="C2" s="121" t="s">
        <v>1</v>
      </c>
      <c r="D2" s="122" t="s">
        <v>2</v>
      </c>
      <c r="E2" s="122"/>
      <c r="F2" s="123" t="s">
        <v>3</v>
      </c>
      <c r="G2" s="123"/>
      <c r="H2" s="123"/>
      <c r="I2" s="123"/>
      <c r="J2" s="124" t="s">
        <v>4</v>
      </c>
      <c r="K2" s="124"/>
      <c r="L2" s="124"/>
      <c r="M2" s="124"/>
      <c r="N2" s="124"/>
      <c r="O2" s="124"/>
      <c r="P2" s="124"/>
      <c r="Q2" s="125" t="s">
        <v>5</v>
      </c>
      <c r="R2" s="125"/>
      <c r="S2" s="126" t="s">
        <v>6</v>
      </c>
      <c r="T2" s="126" t="s">
        <v>7</v>
      </c>
      <c r="U2" s="126" t="s">
        <v>8</v>
      </c>
      <c r="V2" s="124" t="s">
        <v>9</v>
      </c>
      <c r="W2" s="124"/>
    </row>
    <row r="3" spans="2:23" ht="33.75" customHeight="1">
      <c r="B3" s="120"/>
      <c r="C3" s="121"/>
      <c r="D3" s="122"/>
      <c r="E3" s="122"/>
      <c r="F3" s="127" t="s">
        <v>10</v>
      </c>
      <c r="G3" s="128" t="s">
        <v>11</v>
      </c>
      <c r="H3" s="128"/>
      <c r="I3" s="129" t="s">
        <v>12</v>
      </c>
      <c r="J3" s="124"/>
      <c r="K3" s="124"/>
      <c r="L3" s="124"/>
      <c r="M3" s="124"/>
      <c r="N3" s="124"/>
      <c r="O3" s="124"/>
      <c r="P3" s="124"/>
      <c r="Q3" s="125"/>
      <c r="R3" s="125"/>
      <c r="S3" s="126"/>
      <c r="T3" s="126"/>
      <c r="U3" s="126"/>
      <c r="V3" s="124"/>
      <c r="W3" s="124"/>
    </row>
    <row r="4" spans="2:23" ht="34.5" customHeight="1">
      <c r="B4" s="10" t="s">
        <v>13</v>
      </c>
      <c r="C4" s="121"/>
      <c r="D4" s="122"/>
      <c r="E4" s="122"/>
      <c r="F4" s="127"/>
      <c r="G4" s="11" t="s">
        <v>14</v>
      </c>
      <c r="H4" s="11" t="s">
        <v>15</v>
      </c>
      <c r="I4" s="129"/>
      <c r="J4" s="9" t="s">
        <v>16</v>
      </c>
      <c r="K4" s="9" t="s">
        <v>17</v>
      </c>
      <c r="L4" s="9" t="s">
        <v>18</v>
      </c>
      <c r="M4" s="9" t="s">
        <v>19</v>
      </c>
      <c r="N4" s="9" t="s">
        <v>20</v>
      </c>
      <c r="O4" s="9" t="s">
        <v>21</v>
      </c>
      <c r="P4" s="9" t="s">
        <v>12</v>
      </c>
      <c r="Q4" s="12" t="s">
        <v>14</v>
      </c>
      <c r="R4" s="12" t="s">
        <v>15</v>
      </c>
      <c r="S4" s="126"/>
      <c r="T4" s="126"/>
      <c r="U4" s="126"/>
      <c r="V4" s="13" t="s">
        <v>22</v>
      </c>
      <c r="W4" s="9" t="s">
        <v>23</v>
      </c>
    </row>
    <row r="5" spans="2:23" ht="25.5" customHeight="1">
      <c r="B5" s="140" t="s">
        <v>165</v>
      </c>
      <c r="C5" s="89" t="s">
        <v>2</v>
      </c>
      <c r="D5" s="90"/>
      <c r="E5" s="91" t="s">
        <v>27</v>
      </c>
      <c r="F5" s="92"/>
      <c r="G5" s="92"/>
      <c r="H5" s="92"/>
      <c r="I5" s="93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4"/>
      <c r="W5" s="94"/>
    </row>
    <row r="6" spans="1:23" ht="21" customHeight="1">
      <c r="A6" s="1">
        <v>58</v>
      </c>
      <c r="B6" s="140"/>
      <c r="C6" s="95" t="str">
        <f>IF(A6="","VARA",VLOOKUP(A6,'[1]varas'!$A$4:$B$67,2))</f>
        <v>VT S.Talhada</v>
      </c>
      <c r="D6" s="103"/>
      <c r="E6" s="91"/>
      <c r="F6" s="92">
        <v>0</v>
      </c>
      <c r="G6" s="92">
        <v>0</v>
      </c>
      <c r="H6" s="92">
        <v>0</v>
      </c>
      <c r="I6" s="93">
        <f>SUM(F6:H6)</f>
        <v>0</v>
      </c>
      <c r="J6" s="92">
        <v>0</v>
      </c>
      <c r="K6" s="92">
        <v>0</v>
      </c>
      <c r="L6" s="92">
        <v>0</v>
      </c>
      <c r="M6" s="92">
        <v>0</v>
      </c>
      <c r="N6" s="92">
        <v>0</v>
      </c>
      <c r="O6" s="92">
        <v>0</v>
      </c>
      <c r="P6" s="92">
        <f>SUM(J6:O6)</f>
        <v>0</v>
      </c>
      <c r="Q6" s="92">
        <v>0</v>
      </c>
      <c r="R6" s="92">
        <v>0</v>
      </c>
      <c r="S6" s="92">
        <v>0</v>
      </c>
      <c r="T6" s="92">
        <v>0</v>
      </c>
      <c r="U6" s="92">
        <v>0</v>
      </c>
      <c r="V6" s="94"/>
      <c r="W6" s="94"/>
    </row>
    <row r="7" spans="1:23" ht="21" customHeight="1">
      <c r="A7" s="1">
        <v>62</v>
      </c>
      <c r="B7" s="140"/>
      <c r="C7" s="95" t="str">
        <f>IF(A7="","VARA",VLOOKUP(A7,'[1]varas'!$A$4:$B$67,2))</f>
        <v>PAJT Floresta</v>
      </c>
      <c r="D7" s="103"/>
      <c r="E7" s="91"/>
      <c r="F7" s="92">
        <f>18+11</f>
        <v>29</v>
      </c>
      <c r="G7" s="92">
        <v>0</v>
      </c>
      <c r="H7" s="92">
        <v>0</v>
      </c>
      <c r="I7" s="93">
        <f>SUM(F7:H7)</f>
        <v>29</v>
      </c>
      <c r="J7" s="92">
        <v>5</v>
      </c>
      <c r="K7" s="92">
        <v>13</v>
      </c>
      <c r="L7" s="92">
        <v>2</v>
      </c>
      <c r="M7" s="92">
        <v>1</v>
      </c>
      <c r="N7" s="92">
        <v>0</v>
      </c>
      <c r="O7" s="92">
        <v>8</v>
      </c>
      <c r="P7" s="92">
        <f>SUM(J7:O7)</f>
        <v>29</v>
      </c>
      <c r="Q7" s="92">
        <v>0</v>
      </c>
      <c r="R7" s="92">
        <v>0</v>
      </c>
      <c r="S7" s="92">
        <v>0</v>
      </c>
      <c r="T7" s="92">
        <v>0</v>
      </c>
      <c r="U7" s="92">
        <v>56</v>
      </c>
      <c r="V7" s="94"/>
      <c r="W7" s="94"/>
    </row>
    <row r="8" spans="1:23" ht="20.25" customHeight="1">
      <c r="A8" s="1">
        <v>59</v>
      </c>
      <c r="B8" s="140"/>
      <c r="C8" s="95" t="str">
        <f>IF(A8="","VARA",VLOOKUP(A8,'[1]varas'!$A$4:$B$67,2))</f>
        <v>VT Salgueiro</v>
      </c>
      <c r="D8" s="103"/>
      <c r="E8" s="91"/>
      <c r="F8" s="92">
        <f>92+31+7+4</f>
        <v>134</v>
      </c>
      <c r="G8" s="92">
        <v>0</v>
      </c>
      <c r="H8" s="92">
        <v>0</v>
      </c>
      <c r="I8" s="93">
        <f>SUM(F8:H8)</f>
        <v>134</v>
      </c>
      <c r="J8" s="92">
        <v>54</v>
      </c>
      <c r="K8" s="92">
        <v>11</v>
      </c>
      <c r="L8" s="92">
        <v>7</v>
      </c>
      <c r="M8" s="92">
        <v>4</v>
      </c>
      <c r="N8" s="92">
        <v>0</v>
      </c>
      <c r="O8" s="92">
        <v>31</v>
      </c>
      <c r="P8" s="92">
        <f>SUM(J8:O8)</f>
        <v>107</v>
      </c>
      <c r="Q8" s="92">
        <v>27</v>
      </c>
      <c r="R8" s="92">
        <v>0</v>
      </c>
      <c r="S8" s="92">
        <v>0</v>
      </c>
      <c r="T8" s="92">
        <v>0</v>
      </c>
      <c r="U8" s="92">
        <v>182</v>
      </c>
      <c r="V8" s="94"/>
      <c r="W8" s="94"/>
    </row>
    <row r="9" spans="2:23" ht="19.5" customHeight="1">
      <c r="B9" s="140"/>
      <c r="C9" s="96" t="s">
        <v>12</v>
      </c>
      <c r="D9" s="97"/>
      <c r="E9" s="98"/>
      <c r="F9" s="99">
        <f>SUM(F5:F8)</f>
        <v>163</v>
      </c>
      <c r="G9" s="99">
        <f>SUM(G5:G8)</f>
        <v>0</v>
      </c>
      <c r="H9" s="99">
        <f>SUM(H5:H8)</f>
        <v>0</v>
      </c>
      <c r="I9" s="100">
        <f>SUM(F9:H9)</f>
        <v>163</v>
      </c>
      <c r="J9" s="99">
        <f aca="true" t="shared" si="0" ref="J9:O9">SUM(J5:J8)</f>
        <v>59</v>
      </c>
      <c r="K9" s="99">
        <f t="shared" si="0"/>
        <v>24</v>
      </c>
      <c r="L9" s="99">
        <f t="shared" si="0"/>
        <v>9</v>
      </c>
      <c r="M9" s="99">
        <f t="shared" si="0"/>
        <v>5</v>
      </c>
      <c r="N9" s="99">
        <f t="shared" si="0"/>
        <v>0</v>
      </c>
      <c r="O9" s="99">
        <f t="shared" si="0"/>
        <v>39</v>
      </c>
      <c r="P9" s="99">
        <f>SUM(J9:O9)</f>
        <v>136</v>
      </c>
      <c r="Q9" s="99">
        <f>SUM(Q5:Q8)</f>
        <v>27</v>
      </c>
      <c r="R9" s="99">
        <f>SUM(R5:R8)</f>
        <v>0</v>
      </c>
      <c r="S9" s="99">
        <f>SUM(S5:S8)</f>
        <v>0</v>
      </c>
      <c r="T9" s="99">
        <f>SUM(T5:T8)</f>
        <v>0</v>
      </c>
      <c r="U9" s="99">
        <f>SUM(U5:U8)</f>
        <v>238</v>
      </c>
      <c r="V9" s="101">
        <f>IF(I9-Q9=0,"",IF(D9="",(P9+S9)/(I9-Q9),IF(AND(D9&lt;&gt;"",(P9+S9)/(I9-Q9)&gt;=50%),(P9+S9)/(I9-Q9),"")))</f>
        <v>1</v>
      </c>
      <c r="W9" s="101">
        <f>IF(I9=O9,"",IF(V9="",0,(P9+Q9+S9-O9)/(I9-O9)))</f>
        <v>1</v>
      </c>
    </row>
    <row r="10" spans="2:28" ht="24.75" customHeight="1">
      <c r="B10" s="130" t="s">
        <v>24</v>
      </c>
      <c r="C10" s="14" t="s">
        <v>2</v>
      </c>
      <c r="D10" s="29"/>
      <c r="E10" s="16" t="s">
        <v>27</v>
      </c>
      <c r="F10" s="15"/>
      <c r="G10" s="15"/>
      <c r="H10" s="15"/>
      <c r="I10" s="17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8"/>
      <c r="W10" s="18"/>
      <c r="AB10" s="19"/>
    </row>
    <row r="11" spans="1:28" ht="24.75" customHeight="1">
      <c r="A11" s="1">
        <v>34</v>
      </c>
      <c r="B11" s="130"/>
      <c r="C11" s="20" t="str">
        <f>IF(A11="","VARA",VLOOKUP(A11,'[1]varas'!$A$4:$B$67,2))</f>
        <v>1ª VT Jaboatão</v>
      </c>
      <c r="D11" s="15"/>
      <c r="E11" s="16"/>
      <c r="F11" s="15">
        <f>38+23+12</f>
        <v>73</v>
      </c>
      <c r="G11" s="15">
        <v>4</v>
      </c>
      <c r="H11" s="15">
        <v>0</v>
      </c>
      <c r="I11" s="17">
        <f>SUM(F11:H11)</f>
        <v>77</v>
      </c>
      <c r="J11" s="15">
        <v>26</v>
      </c>
      <c r="K11" s="15">
        <v>13</v>
      </c>
      <c r="L11" s="15">
        <v>6</v>
      </c>
      <c r="M11" s="15">
        <v>6</v>
      </c>
      <c r="N11" s="15">
        <v>0</v>
      </c>
      <c r="O11" s="15">
        <v>23</v>
      </c>
      <c r="P11" s="15">
        <f>SUM(J11:O11)</f>
        <v>74</v>
      </c>
      <c r="Q11" s="15">
        <v>3</v>
      </c>
      <c r="R11" s="15">
        <v>0</v>
      </c>
      <c r="S11" s="15">
        <v>0</v>
      </c>
      <c r="T11" s="15">
        <v>0</v>
      </c>
      <c r="U11" s="15">
        <v>121</v>
      </c>
      <c r="V11" s="18"/>
      <c r="W11" s="18"/>
      <c r="AB11" s="19"/>
    </row>
    <row r="12" spans="1:29" s="27" customFormat="1" ht="22.5" customHeight="1">
      <c r="A12" s="1"/>
      <c r="B12" s="130"/>
      <c r="C12" s="21" t="s">
        <v>12</v>
      </c>
      <c r="D12" s="22"/>
      <c r="E12" s="23"/>
      <c r="F12" s="24">
        <f>SUM(F10:F11)</f>
        <v>73</v>
      </c>
      <c r="G12" s="24">
        <f>SUM(G10:G11)</f>
        <v>4</v>
      </c>
      <c r="H12" s="24">
        <f>SUM(H10:H11)</f>
        <v>0</v>
      </c>
      <c r="I12" s="25">
        <f>SUM(F12:H12)</f>
        <v>77</v>
      </c>
      <c r="J12" s="24">
        <f aca="true" t="shared" si="1" ref="J12:O12">SUM(J10:J11)</f>
        <v>26</v>
      </c>
      <c r="K12" s="24">
        <f t="shared" si="1"/>
        <v>13</v>
      </c>
      <c r="L12" s="24">
        <f t="shared" si="1"/>
        <v>6</v>
      </c>
      <c r="M12" s="24">
        <f t="shared" si="1"/>
        <v>6</v>
      </c>
      <c r="N12" s="24">
        <f t="shared" si="1"/>
        <v>0</v>
      </c>
      <c r="O12" s="24">
        <f t="shared" si="1"/>
        <v>23</v>
      </c>
      <c r="P12" s="24">
        <f>SUM(J12:O12)</f>
        <v>74</v>
      </c>
      <c r="Q12" s="24">
        <f>SUM(Q10:Q11)</f>
        <v>3</v>
      </c>
      <c r="R12" s="24">
        <f>SUM(R10:R11)</f>
        <v>0</v>
      </c>
      <c r="S12" s="24">
        <f>SUM(S10:S11)</f>
        <v>0</v>
      </c>
      <c r="T12" s="24">
        <f>SUM(T10:T11)</f>
        <v>0</v>
      </c>
      <c r="U12" s="24">
        <f>SUM(U10:U11)</f>
        <v>121</v>
      </c>
      <c r="V12" s="26">
        <f>IF(I12-Q12=0,"",IF(D12="",(P12+S12)/(I12-Q12),IF(AND(D12&lt;&gt;"",(P12+S12)/(I12-Q12)&gt;=50%),(P12+S12)/(I12-Q12),"")))</f>
        <v>1</v>
      </c>
      <c r="W12" s="26">
        <f>IF(I12=O12,"",IF(V12="",0,(P12+Q12+S12-O12)/(I12-O12)))</f>
        <v>1</v>
      </c>
      <c r="AC12" s="28"/>
    </row>
    <row r="13" spans="1:29" s="30" customFormat="1" ht="22.5" customHeight="1">
      <c r="A13" s="1"/>
      <c r="B13" s="131" t="s">
        <v>25</v>
      </c>
      <c r="C13" s="14" t="s">
        <v>156</v>
      </c>
      <c r="D13" s="29" t="s">
        <v>181</v>
      </c>
      <c r="E13" s="16" t="s">
        <v>182</v>
      </c>
      <c r="F13" s="15"/>
      <c r="G13" s="15"/>
      <c r="H13" s="15"/>
      <c r="I13" s="17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8"/>
      <c r="W13" s="18"/>
      <c r="AC13" s="31"/>
    </row>
    <row r="14" spans="1:29" s="30" customFormat="1" ht="19.5" customHeight="1">
      <c r="A14" s="1">
        <v>2</v>
      </c>
      <c r="B14" s="131"/>
      <c r="C14" s="20" t="str">
        <f>IF(A14="","VARA",VLOOKUP(A14,'[1]varas'!$A$4:$B$67,2))</f>
        <v>2ª VT Recife</v>
      </c>
      <c r="D14" s="29"/>
      <c r="E14" s="16"/>
      <c r="F14" s="15">
        <v>0</v>
      </c>
      <c r="G14" s="15">
        <v>0</v>
      </c>
      <c r="H14" s="15">
        <v>0</v>
      </c>
      <c r="I14" s="17">
        <f>SUM(F14:H14)</f>
        <v>0</v>
      </c>
      <c r="J14" s="15">
        <v>0</v>
      </c>
      <c r="K14" s="15">
        <v>0</v>
      </c>
      <c r="L14" s="15">
        <v>0</v>
      </c>
      <c r="M14" s="15">
        <v>0</v>
      </c>
      <c r="N14" s="15">
        <v>0</v>
      </c>
      <c r="O14" s="15">
        <v>0</v>
      </c>
      <c r="P14" s="15">
        <f>SUM(J14:O14)</f>
        <v>0</v>
      </c>
      <c r="Q14" s="15">
        <v>0</v>
      </c>
      <c r="R14" s="15">
        <v>0</v>
      </c>
      <c r="S14" s="15">
        <v>0</v>
      </c>
      <c r="T14" s="15">
        <v>0</v>
      </c>
      <c r="U14" s="15">
        <v>0</v>
      </c>
      <c r="V14" s="18"/>
      <c r="W14" s="18"/>
      <c r="AC14" s="31"/>
    </row>
    <row r="15" spans="1:28" s="30" customFormat="1" ht="17.25" customHeight="1">
      <c r="A15" s="32"/>
      <c r="B15" s="131"/>
      <c r="C15" s="21" t="s">
        <v>12</v>
      </c>
      <c r="D15" s="33"/>
      <c r="E15" s="23"/>
      <c r="F15" s="24">
        <f>SUM(F13:F14)</f>
        <v>0</v>
      </c>
      <c r="G15" s="24">
        <f>SUM(G13:G14)</f>
        <v>0</v>
      </c>
      <c r="H15" s="24">
        <f>SUM(H13:H14)</f>
        <v>0</v>
      </c>
      <c r="I15" s="25">
        <f>SUM(F15:H15)</f>
        <v>0</v>
      </c>
      <c r="J15" s="24">
        <f aca="true" t="shared" si="2" ref="J15:O15">SUM(J13:J14)</f>
        <v>0</v>
      </c>
      <c r="K15" s="24">
        <f t="shared" si="2"/>
        <v>0</v>
      </c>
      <c r="L15" s="24">
        <f t="shared" si="2"/>
        <v>0</v>
      </c>
      <c r="M15" s="24">
        <f t="shared" si="2"/>
        <v>0</v>
      </c>
      <c r="N15" s="24">
        <f t="shared" si="2"/>
        <v>0</v>
      </c>
      <c r="O15" s="24">
        <f t="shared" si="2"/>
        <v>0</v>
      </c>
      <c r="P15" s="24">
        <f>SUM(J15:O15)</f>
        <v>0</v>
      </c>
      <c r="Q15" s="24">
        <f>SUM(Q13:Q14)</f>
        <v>0</v>
      </c>
      <c r="R15" s="24">
        <f>SUM(R13:R14)</f>
        <v>0</v>
      </c>
      <c r="S15" s="24">
        <f>SUM(S13:S14)</f>
        <v>0</v>
      </c>
      <c r="T15" s="24">
        <f>SUM(T13:T14)</f>
        <v>0</v>
      </c>
      <c r="U15" s="24">
        <f>SUM(U13:U14)</f>
        <v>0</v>
      </c>
      <c r="V15" s="26">
        <f>IF(I15-Q15=0,"",IF(D15="",(P15+S15)/(I15-Q15),IF(AND(D15&lt;&gt;"",(P15+S15)/(I15-Q15)&gt;=50%),(P15+S15)/(I15-Q15),"")))</f>
      </c>
      <c r="W15" s="26">
        <f>IF(I15=O15,"",IF(V15="",0,(P15+Q15+S15-O15)/(I15-O15)))</f>
      </c>
      <c r="AB15" s="34"/>
    </row>
    <row r="16" spans="1:28" s="30" customFormat="1" ht="26.25" customHeight="1">
      <c r="A16" s="32"/>
      <c r="B16" s="131" t="s">
        <v>26</v>
      </c>
      <c r="C16" s="14" t="s">
        <v>2</v>
      </c>
      <c r="D16" s="15" t="s">
        <v>30</v>
      </c>
      <c r="E16" s="16" t="s">
        <v>207</v>
      </c>
      <c r="F16" s="15"/>
      <c r="G16" s="15"/>
      <c r="H16" s="15"/>
      <c r="I16" s="17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8"/>
      <c r="W16" s="18"/>
      <c r="AB16" s="34"/>
    </row>
    <row r="17" spans="1:28" s="30" customFormat="1" ht="20.25" customHeight="1">
      <c r="A17" s="32">
        <v>20</v>
      </c>
      <c r="B17" s="131"/>
      <c r="C17" s="20" t="str">
        <f>IF(A17="","VARA",VLOOKUP(A17,'[1]varas'!$A$4:$B$67,2))</f>
        <v>20ª VT Recife</v>
      </c>
      <c r="D17" s="15"/>
      <c r="E17" s="16"/>
      <c r="F17" s="15">
        <v>4</v>
      </c>
      <c r="G17" s="15">
        <v>0</v>
      </c>
      <c r="H17" s="15">
        <v>0</v>
      </c>
      <c r="I17" s="17">
        <f>SUM(F17:H17)</f>
        <v>4</v>
      </c>
      <c r="J17" s="15">
        <v>3</v>
      </c>
      <c r="K17" s="15">
        <v>1</v>
      </c>
      <c r="L17" s="15">
        <v>0</v>
      </c>
      <c r="M17" s="15">
        <v>0</v>
      </c>
      <c r="N17" s="15">
        <v>0</v>
      </c>
      <c r="O17" s="15">
        <v>0</v>
      </c>
      <c r="P17" s="15">
        <f>SUM(J17:O17)</f>
        <v>4</v>
      </c>
      <c r="Q17" s="15">
        <v>0</v>
      </c>
      <c r="R17" s="15">
        <v>0</v>
      </c>
      <c r="S17" s="15">
        <v>0</v>
      </c>
      <c r="T17" s="15">
        <v>0</v>
      </c>
      <c r="U17" s="15">
        <v>0</v>
      </c>
      <c r="V17" s="18"/>
      <c r="W17" s="18"/>
      <c r="AB17" s="34"/>
    </row>
    <row r="18" spans="1:28" s="30" customFormat="1" ht="18.75" customHeight="1">
      <c r="A18" s="32"/>
      <c r="B18" s="131"/>
      <c r="C18" s="21" t="s">
        <v>12</v>
      </c>
      <c r="D18" s="33"/>
      <c r="E18" s="23"/>
      <c r="F18" s="24">
        <f>SUM(F16:F17)</f>
        <v>4</v>
      </c>
      <c r="G18" s="24">
        <f>SUM(G16:G17)</f>
        <v>0</v>
      </c>
      <c r="H18" s="24">
        <f>SUM(H16:H17)</f>
        <v>0</v>
      </c>
      <c r="I18" s="25">
        <f>SUM(F18:H18)</f>
        <v>4</v>
      </c>
      <c r="J18" s="24">
        <f aca="true" t="shared" si="3" ref="J18:O18">SUM(J16:J17)</f>
        <v>3</v>
      </c>
      <c r="K18" s="24">
        <f t="shared" si="3"/>
        <v>1</v>
      </c>
      <c r="L18" s="24">
        <f t="shared" si="3"/>
        <v>0</v>
      </c>
      <c r="M18" s="24">
        <f t="shared" si="3"/>
        <v>0</v>
      </c>
      <c r="N18" s="24">
        <f t="shared" si="3"/>
        <v>0</v>
      </c>
      <c r="O18" s="24">
        <f t="shared" si="3"/>
        <v>0</v>
      </c>
      <c r="P18" s="24">
        <f>SUM(J18:O18)</f>
        <v>4</v>
      </c>
      <c r="Q18" s="24">
        <f>SUM(Q16:Q17)</f>
        <v>0</v>
      </c>
      <c r="R18" s="24">
        <f>SUM(R16:R17)</f>
        <v>0</v>
      </c>
      <c r="S18" s="24">
        <f>SUM(S16:S17)</f>
        <v>0</v>
      </c>
      <c r="T18" s="24">
        <f>SUM(T16:T17)</f>
        <v>0</v>
      </c>
      <c r="U18" s="24">
        <f>SUM(U16:U17)</f>
        <v>0</v>
      </c>
      <c r="V18" s="26">
        <f>IF(I18-Q18=0,"",IF(D18="",(P18+S18)/(I18-Q18),IF(AND(D18&lt;&gt;"",(P18+S18)/(I18-Q18)&gt;=50%),(P18+S18)/(I18-Q18),"")))</f>
        <v>1</v>
      </c>
      <c r="W18" s="26">
        <f>IF(I18=O18,"",IF(V18="",0,(P18+Q18+S18-O18)/(I18-O18)))</f>
        <v>1</v>
      </c>
      <c r="AB18" s="34"/>
    </row>
    <row r="19" spans="1:28" s="30" customFormat="1" ht="22.5" customHeight="1">
      <c r="A19" s="32"/>
      <c r="B19" s="131" t="s">
        <v>28</v>
      </c>
      <c r="C19" s="14" t="s">
        <v>2</v>
      </c>
      <c r="D19" s="29" t="s">
        <v>200</v>
      </c>
      <c r="E19" s="16" t="s">
        <v>208</v>
      </c>
      <c r="F19" s="15"/>
      <c r="G19" s="15"/>
      <c r="H19" s="15"/>
      <c r="I19" s="17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8"/>
      <c r="W19" s="18"/>
      <c r="AB19" s="34"/>
    </row>
    <row r="20" spans="1:28" s="30" customFormat="1" ht="21.75" customHeight="1">
      <c r="A20" s="32">
        <v>3</v>
      </c>
      <c r="B20" s="131"/>
      <c r="C20" s="20" t="str">
        <f>IF(A20="","VARA",VLOOKUP(A20,'[1]varas'!$A$4:$B$67,2))</f>
        <v>3ª VT Recife</v>
      </c>
      <c r="D20" s="29"/>
      <c r="E20" s="16"/>
      <c r="F20" s="15">
        <f>24+11+8</f>
        <v>43</v>
      </c>
      <c r="G20" s="15">
        <v>7</v>
      </c>
      <c r="H20" s="15">
        <v>3</v>
      </c>
      <c r="I20" s="17">
        <f>SUM(F20:H20)</f>
        <v>53</v>
      </c>
      <c r="J20" s="15">
        <v>23</v>
      </c>
      <c r="K20" s="15">
        <v>7</v>
      </c>
      <c r="L20" s="15">
        <v>3</v>
      </c>
      <c r="M20" s="15">
        <v>7</v>
      </c>
      <c r="N20" s="15">
        <v>0</v>
      </c>
      <c r="O20" s="15">
        <v>11</v>
      </c>
      <c r="P20" s="15">
        <f>SUM(J20:O20)</f>
        <v>51</v>
      </c>
      <c r="Q20" s="15">
        <v>0</v>
      </c>
      <c r="R20" s="15">
        <v>2</v>
      </c>
      <c r="S20" s="15">
        <v>0</v>
      </c>
      <c r="T20" s="15">
        <v>0</v>
      </c>
      <c r="U20" s="15">
        <v>49</v>
      </c>
      <c r="V20" s="18"/>
      <c r="W20" s="18"/>
      <c r="AB20" s="34"/>
    </row>
    <row r="21" spans="1:28" s="37" customFormat="1" ht="18" customHeight="1">
      <c r="A21" s="35"/>
      <c r="B21" s="131"/>
      <c r="C21" s="21" t="s">
        <v>12</v>
      </c>
      <c r="D21" s="33"/>
      <c r="E21" s="23"/>
      <c r="F21" s="24">
        <f>SUM(F19:F20)</f>
        <v>43</v>
      </c>
      <c r="G21" s="24">
        <f>SUM(G19:G20)</f>
        <v>7</v>
      </c>
      <c r="H21" s="24">
        <f>SUM(H19:H20)</f>
        <v>3</v>
      </c>
      <c r="I21" s="25">
        <f>SUM(F21:H21)</f>
        <v>53</v>
      </c>
      <c r="J21" s="24">
        <f aca="true" t="shared" si="4" ref="J21:O21">SUM(J19:J20)</f>
        <v>23</v>
      </c>
      <c r="K21" s="24">
        <f t="shared" si="4"/>
        <v>7</v>
      </c>
      <c r="L21" s="24">
        <f t="shared" si="4"/>
        <v>3</v>
      </c>
      <c r="M21" s="24">
        <f t="shared" si="4"/>
        <v>7</v>
      </c>
      <c r="N21" s="24">
        <f t="shared" si="4"/>
        <v>0</v>
      </c>
      <c r="O21" s="24">
        <f t="shared" si="4"/>
        <v>11</v>
      </c>
      <c r="P21" s="24">
        <f>SUM(J21:O21)</f>
        <v>51</v>
      </c>
      <c r="Q21" s="24">
        <f>SUM(Q19:Q20)</f>
        <v>0</v>
      </c>
      <c r="R21" s="24">
        <f>SUM(R19:R20)</f>
        <v>2</v>
      </c>
      <c r="S21" s="24">
        <f>SUM(S19:S20)</f>
        <v>0</v>
      </c>
      <c r="T21" s="24">
        <f>SUM(T19:T20)</f>
        <v>0</v>
      </c>
      <c r="U21" s="24">
        <f>SUM(U19:U20)</f>
        <v>49</v>
      </c>
      <c r="V21" s="26">
        <f>IF(I21-Q21=0,"",IF(D21="",(P21+S21)/(I21-Q21),IF(AND(D21&lt;&gt;"",(P21+S21)/(I21-Q21)&gt;=50%),(P21+S21)/(I21-Q21),"")))</f>
        <v>0.9622641509433962</v>
      </c>
      <c r="W21" s="26">
        <f>IF(I21=O21,"",IF(V21="",0,(P21+Q21+S21-O21)/(I21-O21)))</f>
        <v>0.9523809523809523</v>
      </c>
      <c r="X21" s="36"/>
      <c r="AB21" s="38"/>
    </row>
    <row r="22" spans="1:28" s="30" customFormat="1" ht="24" customHeight="1">
      <c r="A22" s="32"/>
      <c r="B22" s="131" t="s">
        <v>29</v>
      </c>
      <c r="C22" s="14" t="s">
        <v>2</v>
      </c>
      <c r="D22" s="29" t="s">
        <v>209</v>
      </c>
      <c r="E22" s="16" t="s">
        <v>210</v>
      </c>
      <c r="F22" s="15"/>
      <c r="G22" s="15"/>
      <c r="H22" s="15"/>
      <c r="I22" s="17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8"/>
      <c r="W22" s="18"/>
      <c r="AB22" s="34"/>
    </row>
    <row r="23" spans="1:28" s="30" customFormat="1" ht="18" customHeight="1">
      <c r="A23" s="32">
        <v>70</v>
      </c>
      <c r="B23" s="131"/>
      <c r="C23" s="20" t="s">
        <v>170</v>
      </c>
      <c r="D23" s="15"/>
      <c r="E23" s="16"/>
      <c r="F23" s="15">
        <v>17</v>
      </c>
      <c r="G23" s="15">
        <v>0</v>
      </c>
      <c r="H23" s="15">
        <v>0</v>
      </c>
      <c r="I23" s="17">
        <f>SUM(F23:H23)</f>
        <v>17</v>
      </c>
      <c r="J23" s="15">
        <v>0</v>
      </c>
      <c r="K23" s="15">
        <v>0</v>
      </c>
      <c r="L23" s="15">
        <v>0</v>
      </c>
      <c r="M23" s="15">
        <v>0</v>
      </c>
      <c r="N23" s="15">
        <v>0</v>
      </c>
      <c r="O23" s="15">
        <v>17</v>
      </c>
      <c r="P23" s="15">
        <f>SUM(J23:O23)</f>
        <v>17</v>
      </c>
      <c r="Q23" s="15">
        <v>0</v>
      </c>
      <c r="R23" s="15">
        <v>0</v>
      </c>
      <c r="S23" s="15">
        <v>0</v>
      </c>
      <c r="T23" s="15">
        <v>0</v>
      </c>
      <c r="U23" s="15">
        <v>54</v>
      </c>
      <c r="V23" s="18"/>
      <c r="W23" s="18"/>
      <c r="AB23" s="34"/>
    </row>
    <row r="24" spans="1:41" s="39" customFormat="1" ht="20.25" customHeight="1">
      <c r="A24" s="32"/>
      <c r="B24" s="131"/>
      <c r="C24" s="21" t="s">
        <v>12</v>
      </c>
      <c r="D24" s="33"/>
      <c r="E24" s="23"/>
      <c r="F24" s="24">
        <f>SUM(F22:F23)</f>
        <v>17</v>
      </c>
      <c r="G24" s="24">
        <f>SUM(G22:G23)</f>
        <v>0</v>
      </c>
      <c r="H24" s="24">
        <f>SUM(H22:H23)</f>
        <v>0</v>
      </c>
      <c r="I24" s="25">
        <f>SUM(F24:H24)</f>
        <v>17</v>
      </c>
      <c r="J24" s="24">
        <f aca="true" t="shared" si="5" ref="J24:O24">SUM(J22:J23)</f>
        <v>0</v>
      </c>
      <c r="K24" s="24">
        <f t="shared" si="5"/>
        <v>0</v>
      </c>
      <c r="L24" s="24">
        <f t="shared" si="5"/>
        <v>0</v>
      </c>
      <c r="M24" s="24">
        <f t="shared" si="5"/>
        <v>0</v>
      </c>
      <c r="N24" s="24">
        <f t="shared" si="5"/>
        <v>0</v>
      </c>
      <c r="O24" s="24">
        <f t="shared" si="5"/>
        <v>17</v>
      </c>
      <c r="P24" s="24">
        <f>SUM(J24:O24)</f>
        <v>17</v>
      </c>
      <c r="Q24" s="24">
        <f>SUM(Q22:Q23)</f>
        <v>0</v>
      </c>
      <c r="R24" s="24">
        <f>SUM(R22:R23)</f>
        <v>0</v>
      </c>
      <c r="S24" s="24">
        <f>SUM(S22:S23)</f>
        <v>0</v>
      </c>
      <c r="T24" s="24">
        <f>SUM(T22:T23)</f>
        <v>0</v>
      </c>
      <c r="U24" s="24">
        <f>SUM(U22:U23)</f>
        <v>54</v>
      </c>
      <c r="V24" s="26">
        <f>IF(I24-Q24=0,"",IF(D24="",(P24+S24)/(I24-Q24),IF(AND(D24&lt;&gt;"",(P24+S24)/(I24-Q24)&gt;=50%),(P24+S24)/(I24-Q24),"")))</f>
        <v>1</v>
      </c>
      <c r="W24" s="26">
        <f>IF(I24=O24,"",IF(V24="",0,(P24+Q24+S24-O24)/(I24-O24)))</f>
      </c>
      <c r="X24" s="30"/>
      <c r="Y24" s="30"/>
      <c r="Z24" s="30"/>
      <c r="AA24" s="30"/>
      <c r="AB24" s="34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</row>
    <row r="25" spans="1:28" s="30" customFormat="1" ht="24" customHeight="1">
      <c r="A25" s="32"/>
      <c r="B25" s="131" t="s">
        <v>31</v>
      </c>
      <c r="C25" s="14" t="s">
        <v>2</v>
      </c>
      <c r="D25" s="29" t="s">
        <v>30</v>
      </c>
      <c r="E25" s="16" t="s">
        <v>211</v>
      </c>
      <c r="F25" s="15"/>
      <c r="G25" s="15"/>
      <c r="H25" s="15"/>
      <c r="I25" s="17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8"/>
      <c r="W25" s="18"/>
      <c r="AB25" s="34"/>
    </row>
    <row r="26" spans="1:28" s="30" customFormat="1" ht="19.5" customHeight="1">
      <c r="A26" s="32">
        <v>61</v>
      </c>
      <c r="B26" s="131"/>
      <c r="C26" s="20" t="str">
        <f>IF(A26="","VARA",VLOOKUP(A26,'[1]varas'!$A$4:$B$67,2))</f>
        <v>VT Vitória</v>
      </c>
      <c r="D26" s="15"/>
      <c r="E26" s="17"/>
      <c r="F26" s="15">
        <f>26+15+3+13</f>
        <v>57</v>
      </c>
      <c r="G26" s="15">
        <v>8</v>
      </c>
      <c r="H26" s="15">
        <v>0</v>
      </c>
      <c r="I26" s="17">
        <f>SUM(F26:H26)</f>
        <v>65</v>
      </c>
      <c r="J26" s="15">
        <v>33</v>
      </c>
      <c r="K26" s="15">
        <v>0</v>
      </c>
      <c r="L26" s="15">
        <v>3</v>
      </c>
      <c r="M26" s="15">
        <v>13</v>
      </c>
      <c r="N26" s="15">
        <v>0</v>
      </c>
      <c r="O26" s="15">
        <v>15</v>
      </c>
      <c r="P26" s="15">
        <f>SUM(J26:O26)</f>
        <v>64</v>
      </c>
      <c r="Q26" s="15">
        <v>0</v>
      </c>
      <c r="R26" s="15">
        <v>1</v>
      </c>
      <c r="S26" s="15">
        <v>0</v>
      </c>
      <c r="T26" s="15">
        <v>0</v>
      </c>
      <c r="U26" s="15">
        <v>59</v>
      </c>
      <c r="V26" s="18"/>
      <c r="W26" s="18"/>
      <c r="AB26" s="34"/>
    </row>
    <row r="27" spans="1:28" s="30" customFormat="1" ht="19.5" customHeight="1">
      <c r="A27" s="32"/>
      <c r="B27" s="131"/>
      <c r="C27" s="21" t="s">
        <v>12</v>
      </c>
      <c r="D27" s="33"/>
      <c r="E27" s="23"/>
      <c r="F27" s="24">
        <f>SUM(F25:F26)</f>
        <v>57</v>
      </c>
      <c r="G27" s="24">
        <f>SUM(G25:G26)</f>
        <v>8</v>
      </c>
      <c r="H27" s="24">
        <f>SUM(H25:H26)</f>
        <v>0</v>
      </c>
      <c r="I27" s="25">
        <f>SUM(F27:H27)</f>
        <v>65</v>
      </c>
      <c r="J27" s="24">
        <f aca="true" t="shared" si="6" ref="J27:O27">SUM(J25:J26)</f>
        <v>33</v>
      </c>
      <c r="K27" s="24">
        <f t="shared" si="6"/>
        <v>0</v>
      </c>
      <c r="L27" s="24">
        <f t="shared" si="6"/>
        <v>3</v>
      </c>
      <c r="M27" s="24">
        <f t="shared" si="6"/>
        <v>13</v>
      </c>
      <c r="N27" s="24">
        <f t="shared" si="6"/>
        <v>0</v>
      </c>
      <c r="O27" s="24">
        <f t="shared" si="6"/>
        <v>15</v>
      </c>
      <c r="P27" s="24">
        <f>SUM(J27:O27)</f>
        <v>64</v>
      </c>
      <c r="Q27" s="24">
        <f>SUM(Q25:Q26)</f>
        <v>0</v>
      </c>
      <c r="R27" s="24">
        <f>SUM(R25:R26)</f>
        <v>1</v>
      </c>
      <c r="S27" s="24">
        <f>SUM(S25:S26)</f>
        <v>0</v>
      </c>
      <c r="T27" s="24">
        <f>SUM(T25:T26)</f>
        <v>0</v>
      </c>
      <c r="U27" s="24">
        <f>SUM(U25:U26)</f>
        <v>59</v>
      </c>
      <c r="V27" s="26">
        <f>IF(I27-Q27=0,"",IF(D27="",(P27+S27)/(I27-Q27),IF(AND(D27&lt;&gt;"",(P27+S27)/(I27-Q27)&gt;=50%),(P27+S27)/(I27-Q27),"")))</f>
        <v>0.9846153846153847</v>
      </c>
      <c r="W27" s="26">
        <f>IF(I27=O27,"",IF(V27="",0,(P27+Q27+S27-O27)/(I27-O27)))</f>
        <v>0.98</v>
      </c>
      <c r="AB27" s="34"/>
    </row>
    <row r="28" spans="1:41" s="39" customFormat="1" ht="23.25" customHeight="1">
      <c r="A28" s="32"/>
      <c r="B28" s="132" t="s">
        <v>32</v>
      </c>
      <c r="C28" s="105" t="s">
        <v>2</v>
      </c>
      <c r="D28" s="29" t="s">
        <v>43</v>
      </c>
      <c r="E28" s="16" t="s">
        <v>212</v>
      </c>
      <c r="F28" s="15"/>
      <c r="G28" s="15"/>
      <c r="H28" s="15"/>
      <c r="I28" s="17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8"/>
      <c r="W28" s="18"/>
      <c r="X28" s="30"/>
      <c r="Y28" s="30"/>
      <c r="Z28" s="30"/>
      <c r="AA28" s="30"/>
      <c r="AB28" s="34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</row>
    <row r="29" spans="1:41" s="39" customFormat="1" ht="21.75" customHeight="1">
      <c r="A29" s="32">
        <v>16</v>
      </c>
      <c r="B29" s="133"/>
      <c r="C29" s="106" t="str">
        <f>IF(A29="","VARA",VLOOKUP(A29,'[1]varas'!$A$4:$B$67,2))</f>
        <v>16ª VT Recife</v>
      </c>
      <c r="D29" s="29"/>
      <c r="E29" s="16"/>
      <c r="F29" s="15">
        <f>21+16+7</f>
        <v>44</v>
      </c>
      <c r="G29" s="15">
        <v>17</v>
      </c>
      <c r="H29" s="15">
        <v>17</v>
      </c>
      <c r="I29" s="17">
        <f>SUM(F29:H29)</f>
        <v>78</v>
      </c>
      <c r="J29" s="15">
        <v>13</v>
      </c>
      <c r="K29" s="15">
        <v>3</v>
      </c>
      <c r="L29" s="15">
        <v>5</v>
      </c>
      <c r="M29" s="15">
        <v>1</v>
      </c>
      <c r="N29" s="15">
        <v>1</v>
      </c>
      <c r="O29" s="15">
        <v>16</v>
      </c>
      <c r="P29" s="15">
        <f>SUM(J29:O29)</f>
        <v>39</v>
      </c>
      <c r="Q29" s="15">
        <v>11</v>
      </c>
      <c r="R29" s="15">
        <v>27</v>
      </c>
      <c r="S29" s="15">
        <v>0</v>
      </c>
      <c r="T29" s="15">
        <v>1</v>
      </c>
      <c r="U29" s="15">
        <v>109</v>
      </c>
      <c r="V29" s="18"/>
      <c r="W29" s="18"/>
      <c r="X29" s="30"/>
      <c r="Y29" s="30"/>
      <c r="Z29" s="30"/>
      <c r="AA29" s="30"/>
      <c r="AB29" s="34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</row>
    <row r="30" spans="1:28" s="30" customFormat="1" ht="25.5" customHeight="1">
      <c r="A30" s="32"/>
      <c r="B30" s="134"/>
      <c r="C30" s="107" t="s">
        <v>12</v>
      </c>
      <c r="D30" s="33"/>
      <c r="E30" s="23"/>
      <c r="F30" s="24">
        <f>SUM(F28:F29)</f>
        <v>44</v>
      </c>
      <c r="G30" s="24">
        <f>SUM(G28:G29)</f>
        <v>17</v>
      </c>
      <c r="H30" s="24">
        <f>SUM(H28:H29)</f>
        <v>17</v>
      </c>
      <c r="I30" s="40">
        <f>SUM(F30:H30)</f>
        <v>78</v>
      </c>
      <c r="J30" s="24">
        <f aca="true" t="shared" si="7" ref="J30:O30">SUM(J28:J29)</f>
        <v>13</v>
      </c>
      <c r="K30" s="24">
        <f t="shared" si="7"/>
        <v>3</v>
      </c>
      <c r="L30" s="24">
        <f t="shared" si="7"/>
        <v>5</v>
      </c>
      <c r="M30" s="24">
        <f t="shared" si="7"/>
        <v>1</v>
      </c>
      <c r="N30" s="24">
        <f t="shared" si="7"/>
        <v>1</v>
      </c>
      <c r="O30" s="24">
        <f t="shared" si="7"/>
        <v>16</v>
      </c>
      <c r="P30" s="24">
        <f>SUM(J30:O30)</f>
        <v>39</v>
      </c>
      <c r="Q30" s="24">
        <f>SUM(Q28:Q29)</f>
        <v>11</v>
      </c>
      <c r="R30" s="24">
        <f>SUM(R28:R29)</f>
        <v>27</v>
      </c>
      <c r="S30" s="24">
        <f>SUM(S28:S29)</f>
        <v>0</v>
      </c>
      <c r="T30" s="24">
        <f>SUM(T28:T29)</f>
        <v>1</v>
      </c>
      <c r="U30" s="24">
        <f>SUM(U28:U29)</f>
        <v>109</v>
      </c>
      <c r="V30" s="26">
        <f>IF(I30-Q30=0,"",IF(D30="",(P30+S30)/(I30-Q30),IF(AND(D30&lt;&gt;"",(P30+S30)/(I30-Q30)&gt;=50%),(P30+S30)/(I30-Q30),"")))</f>
        <v>0.582089552238806</v>
      </c>
      <c r="W30" s="26">
        <f>IF(I30=O30,"",IF(V30="",0,(P30+Q30+S30-O30)/(I30-O30)))</f>
        <v>0.5483870967741935</v>
      </c>
      <c r="AB30" s="34"/>
    </row>
    <row r="31" spans="1:28" s="30" customFormat="1" ht="23.25" customHeight="1">
      <c r="A31" s="32"/>
      <c r="B31" s="132" t="s">
        <v>33</v>
      </c>
      <c r="C31" s="105" t="s">
        <v>2</v>
      </c>
      <c r="D31" s="15" t="s">
        <v>194</v>
      </c>
      <c r="E31" s="17" t="s">
        <v>197</v>
      </c>
      <c r="F31" s="15"/>
      <c r="G31" s="15"/>
      <c r="H31" s="15"/>
      <c r="I31" s="17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8"/>
      <c r="W31" s="18"/>
      <c r="AB31" s="34"/>
    </row>
    <row r="32" spans="1:28" s="30" customFormat="1" ht="19.5" customHeight="1">
      <c r="A32" s="32">
        <v>37</v>
      </c>
      <c r="B32" s="133"/>
      <c r="C32" s="106" t="str">
        <f>IF(A32="","VARA",VLOOKUP(A32,'[1]varas'!$A$4:$B$67,2))</f>
        <v>4ª VT Jaboatão</v>
      </c>
      <c r="D32" s="15"/>
      <c r="E32" s="17"/>
      <c r="F32" s="15">
        <f>30+19+9</f>
        <v>58</v>
      </c>
      <c r="G32" s="15">
        <v>0</v>
      </c>
      <c r="H32" s="15">
        <v>14</v>
      </c>
      <c r="I32" s="17">
        <f>SUM(F32:H32)</f>
        <v>72</v>
      </c>
      <c r="J32" s="15">
        <v>14</v>
      </c>
      <c r="K32" s="15">
        <v>5</v>
      </c>
      <c r="L32" s="15">
        <v>9</v>
      </c>
      <c r="M32" s="15">
        <v>0</v>
      </c>
      <c r="N32" s="15">
        <v>0</v>
      </c>
      <c r="O32" s="15">
        <v>19</v>
      </c>
      <c r="P32" s="15">
        <f>SUM(J32:O32)</f>
        <v>47</v>
      </c>
      <c r="Q32" s="15">
        <v>19</v>
      </c>
      <c r="R32" s="15">
        <v>6</v>
      </c>
      <c r="S32" s="15">
        <v>0</v>
      </c>
      <c r="T32" s="15">
        <v>0</v>
      </c>
      <c r="U32" s="15">
        <v>108</v>
      </c>
      <c r="V32" s="18"/>
      <c r="W32" s="18"/>
      <c r="AB32" s="34"/>
    </row>
    <row r="33" spans="1:28" s="30" customFormat="1" ht="17.25" customHeight="1">
      <c r="A33" s="32"/>
      <c r="B33" s="134"/>
      <c r="C33" s="107" t="s">
        <v>12</v>
      </c>
      <c r="D33" s="33"/>
      <c r="E33" s="23"/>
      <c r="F33" s="24">
        <f>SUM(F31:F32)</f>
        <v>58</v>
      </c>
      <c r="G33" s="24">
        <f>SUM(G31:G32)</f>
        <v>0</v>
      </c>
      <c r="H33" s="24">
        <f>SUM(H31:H32)</f>
        <v>14</v>
      </c>
      <c r="I33" s="25">
        <f>SUM(F33:H33)</f>
        <v>72</v>
      </c>
      <c r="J33" s="24">
        <f aca="true" t="shared" si="8" ref="J33:O33">SUM(J31:J32)</f>
        <v>14</v>
      </c>
      <c r="K33" s="24">
        <f t="shared" si="8"/>
        <v>5</v>
      </c>
      <c r="L33" s="24">
        <f t="shared" si="8"/>
        <v>9</v>
      </c>
      <c r="M33" s="24">
        <f t="shared" si="8"/>
        <v>0</v>
      </c>
      <c r="N33" s="24">
        <f t="shared" si="8"/>
        <v>0</v>
      </c>
      <c r="O33" s="24">
        <f t="shared" si="8"/>
        <v>19</v>
      </c>
      <c r="P33" s="24">
        <f>SUM(J33:O33)</f>
        <v>47</v>
      </c>
      <c r="Q33" s="24">
        <f>SUM(Q31:Q32)</f>
        <v>19</v>
      </c>
      <c r="R33" s="24">
        <f>SUM(R31:R32)</f>
        <v>6</v>
      </c>
      <c r="S33" s="24">
        <f>SUM(S31:S32)</f>
        <v>0</v>
      </c>
      <c r="T33" s="24">
        <f>SUM(T31:T32)</f>
        <v>0</v>
      </c>
      <c r="U33" s="24">
        <f>SUM(U31:U32)</f>
        <v>108</v>
      </c>
      <c r="V33" s="26">
        <f>IF(I33-Q33=0,"",IF(D33="",(P33+S33)/(I33-Q33),IF(AND(D33&lt;&gt;"",(P33+S33)/(I33-Q33)&gt;=50%),(P33+S33)/(I33-Q33),"")))</f>
        <v>0.8867924528301887</v>
      </c>
      <c r="W33" s="26">
        <f>IF(I33=O33,"",IF(V33="",0,(P33+Q33+S33-O33)/(I33-O33)))</f>
        <v>0.8867924528301887</v>
      </c>
      <c r="AB33" s="34"/>
    </row>
    <row r="34" spans="1:28" s="30" customFormat="1" ht="23.25" customHeight="1">
      <c r="A34" s="32"/>
      <c r="B34" s="132" t="s">
        <v>34</v>
      </c>
      <c r="C34" s="105" t="s">
        <v>2</v>
      </c>
      <c r="D34" s="29"/>
      <c r="E34" s="41" t="s">
        <v>27</v>
      </c>
      <c r="F34" s="15"/>
      <c r="G34" s="15"/>
      <c r="H34" s="15"/>
      <c r="I34" s="17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8"/>
      <c r="W34" s="18"/>
      <c r="AB34" s="34"/>
    </row>
    <row r="35" spans="1:28" s="30" customFormat="1" ht="23.25" customHeight="1">
      <c r="A35" s="32">
        <v>60</v>
      </c>
      <c r="B35" s="135"/>
      <c r="C35" s="106" t="str">
        <f>IF(A35="","VARA",VLOOKUP(A35,'[1]varas'!$A$4:$B$67,2))</f>
        <v>VT Timbaúba</v>
      </c>
      <c r="D35" s="15"/>
      <c r="E35" s="41"/>
      <c r="F35" s="15">
        <v>13</v>
      </c>
      <c r="G35" s="15">
        <v>0</v>
      </c>
      <c r="H35" s="15">
        <v>0</v>
      </c>
      <c r="I35" s="17">
        <f>SUM(F35:H35)</f>
        <v>13</v>
      </c>
      <c r="J35" s="15">
        <v>5</v>
      </c>
      <c r="K35" s="15">
        <v>0</v>
      </c>
      <c r="L35" s="15">
        <v>0</v>
      </c>
      <c r="M35" s="15">
        <v>0</v>
      </c>
      <c r="N35" s="15">
        <v>0</v>
      </c>
      <c r="O35" s="15">
        <v>0</v>
      </c>
      <c r="P35" s="15">
        <f>SUM(J35:O35)</f>
        <v>5</v>
      </c>
      <c r="Q35" s="15">
        <v>8</v>
      </c>
      <c r="R35" s="15">
        <v>0</v>
      </c>
      <c r="S35" s="15">
        <v>0</v>
      </c>
      <c r="T35" s="15">
        <v>0</v>
      </c>
      <c r="U35" s="15">
        <v>21</v>
      </c>
      <c r="V35" s="18"/>
      <c r="W35" s="18"/>
      <c r="AB35" s="34"/>
    </row>
    <row r="36" spans="1:28" s="30" customFormat="1" ht="17.25" customHeight="1">
      <c r="A36" s="32">
        <v>53</v>
      </c>
      <c r="B36" s="133"/>
      <c r="C36" s="106" t="str">
        <f>IF(A36="","VARA",VLOOKUP(A36,'[1]varas'!$A$4:$B$67,2))</f>
        <v>VT Nazaré</v>
      </c>
      <c r="D36" s="15"/>
      <c r="E36" s="41"/>
      <c r="F36" s="15">
        <f>33+46+6+6</f>
        <v>91</v>
      </c>
      <c r="G36" s="15">
        <v>4</v>
      </c>
      <c r="H36" s="15">
        <v>0</v>
      </c>
      <c r="I36" s="17">
        <f>SUM(F36:H36)</f>
        <v>95</v>
      </c>
      <c r="J36" s="15">
        <v>12</v>
      </c>
      <c r="K36" s="15">
        <v>17</v>
      </c>
      <c r="L36" s="15">
        <v>6</v>
      </c>
      <c r="M36" s="15">
        <v>6</v>
      </c>
      <c r="N36" s="15">
        <v>0</v>
      </c>
      <c r="O36" s="15">
        <v>46</v>
      </c>
      <c r="P36" s="15">
        <f>SUM(J36:O36)</f>
        <v>87</v>
      </c>
      <c r="Q36" s="15">
        <v>8</v>
      </c>
      <c r="R36" s="15">
        <v>0</v>
      </c>
      <c r="S36" s="15">
        <v>0</v>
      </c>
      <c r="T36" s="15">
        <v>0</v>
      </c>
      <c r="U36" s="15">
        <v>191</v>
      </c>
      <c r="V36" s="18"/>
      <c r="W36" s="18"/>
      <c r="AB36" s="34"/>
    </row>
    <row r="37" spans="1:28" s="30" customFormat="1" ht="17.25" customHeight="1">
      <c r="A37" s="32"/>
      <c r="B37" s="134"/>
      <c r="C37" s="106" t="s">
        <v>12</v>
      </c>
      <c r="D37" s="33"/>
      <c r="E37" s="23"/>
      <c r="F37" s="24">
        <f>SUM(F34:F36)</f>
        <v>104</v>
      </c>
      <c r="G37" s="24">
        <f>SUM(G34:G36)</f>
        <v>4</v>
      </c>
      <c r="H37" s="24">
        <f>SUM(H34:H36)</f>
        <v>0</v>
      </c>
      <c r="I37" s="40">
        <f>SUM(F37:H37)</f>
        <v>108</v>
      </c>
      <c r="J37" s="24">
        <f aca="true" t="shared" si="9" ref="J37:O37">SUM(J34:J36)</f>
        <v>17</v>
      </c>
      <c r="K37" s="24">
        <f t="shared" si="9"/>
        <v>17</v>
      </c>
      <c r="L37" s="24">
        <f t="shared" si="9"/>
        <v>6</v>
      </c>
      <c r="M37" s="24">
        <f t="shared" si="9"/>
        <v>6</v>
      </c>
      <c r="N37" s="24">
        <f t="shared" si="9"/>
        <v>0</v>
      </c>
      <c r="O37" s="24">
        <f t="shared" si="9"/>
        <v>46</v>
      </c>
      <c r="P37" s="24">
        <f>SUM(J37:O37)</f>
        <v>92</v>
      </c>
      <c r="Q37" s="24">
        <f>SUM(Q34:Q36)</f>
        <v>16</v>
      </c>
      <c r="R37" s="24">
        <f>SUM(R34:R36)</f>
        <v>0</v>
      </c>
      <c r="S37" s="24">
        <f>SUM(S34:S36)</f>
        <v>0</v>
      </c>
      <c r="T37" s="24">
        <f>SUM(T34:T36)</f>
        <v>0</v>
      </c>
      <c r="U37" s="24">
        <f>SUM(U34:U36)</f>
        <v>212</v>
      </c>
      <c r="V37" s="26">
        <f>IF(I37-Q37=0,"",IF(D37="",(P37+S37)/(I37-Q37),IF(AND(D37&lt;&gt;"",(P37+S37)/(I37-Q37)&gt;=50%),(P37+S37)/(I37-Q37),"")))</f>
        <v>1</v>
      </c>
      <c r="W37" s="26">
        <f>IF(I37=O37,"",IF(V37="",0,(P37+Q37+S37-O37)/(I37-O37)))</f>
        <v>1</v>
      </c>
      <c r="AB37" s="34"/>
    </row>
    <row r="38" spans="1:28" s="30" customFormat="1" ht="21" customHeight="1">
      <c r="A38" s="32"/>
      <c r="B38" s="136" t="s">
        <v>164</v>
      </c>
      <c r="C38" s="14" t="s">
        <v>2</v>
      </c>
      <c r="D38" s="42" t="s">
        <v>30</v>
      </c>
      <c r="E38" s="16" t="s">
        <v>198</v>
      </c>
      <c r="F38" s="15"/>
      <c r="G38" s="15"/>
      <c r="H38" s="15"/>
      <c r="I38" s="17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8"/>
      <c r="W38" s="18"/>
      <c r="AB38" s="34"/>
    </row>
    <row r="39" spans="1:28" s="30" customFormat="1" ht="18" customHeight="1">
      <c r="A39" s="32">
        <v>38</v>
      </c>
      <c r="B39" s="131"/>
      <c r="C39" s="20" t="str">
        <f>IF(A39="","VARA",VLOOKUP(A39,'[1]varas'!$A$4:$B$67,2))</f>
        <v>1ª VT Olinda</v>
      </c>
      <c r="D39" s="43"/>
      <c r="E39" s="16"/>
      <c r="F39" s="15">
        <f>25+10</f>
        <v>35</v>
      </c>
      <c r="G39" s="15">
        <v>0</v>
      </c>
      <c r="H39" s="15">
        <v>72</v>
      </c>
      <c r="I39" s="17">
        <f>SUM(F39:H39)</f>
        <v>107</v>
      </c>
      <c r="J39" s="15">
        <v>22</v>
      </c>
      <c r="K39" s="15">
        <v>1</v>
      </c>
      <c r="L39" s="15">
        <v>1</v>
      </c>
      <c r="M39" s="15">
        <v>2</v>
      </c>
      <c r="N39" s="15">
        <v>0</v>
      </c>
      <c r="O39" s="15">
        <v>7</v>
      </c>
      <c r="P39" s="15">
        <f>SUM(J39:O39)</f>
        <v>33</v>
      </c>
      <c r="Q39" s="15">
        <v>0</v>
      </c>
      <c r="R39" s="15">
        <v>74</v>
      </c>
      <c r="S39" s="15">
        <v>0</v>
      </c>
      <c r="T39" s="15">
        <v>0</v>
      </c>
      <c r="U39" s="15">
        <v>108</v>
      </c>
      <c r="V39" s="18"/>
      <c r="W39" s="18"/>
      <c r="AB39" s="34"/>
    </row>
    <row r="40" spans="1:41" s="39" customFormat="1" ht="19.5" customHeight="1">
      <c r="A40" s="32"/>
      <c r="B40" s="131"/>
      <c r="C40" s="21" t="s">
        <v>12</v>
      </c>
      <c r="D40" s="33"/>
      <c r="E40" s="23"/>
      <c r="F40" s="24">
        <f>SUM(F38:F39)</f>
        <v>35</v>
      </c>
      <c r="G40" s="24">
        <f>SUM(G38:G39)</f>
        <v>0</v>
      </c>
      <c r="H40" s="24">
        <f>SUM(H38:H39)</f>
        <v>72</v>
      </c>
      <c r="I40" s="25">
        <f>SUM(F40:H40)</f>
        <v>107</v>
      </c>
      <c r="J40" s="24">
        <f aca="true" t="shared" si="10" ref="J40:O40">SUM(J38:J39)</f>
        <v>22</v>
      </c>
      <c r="K40" s="24">
        <f t="shared" si="10"/>
        <v>1</v>
      </c>
      <c r="L40" s="24">
        <f t="shared" si="10"/>
        <v>1</v>
      </c>
      <c r="M40" s="24">
        <f t="shared" si="10"/>
        <v>2</v>
      </c>
      <c r="N40" s="24">
        <f t="shared" si="10"/>
        <v>0</v>
      </c>
      <c r="O40" s="24">
        <f t="shared" si="10"/>
        <v>7</v>
      </c>
      <c r="P40" s="24">
        <f>SUM(J40:O40)</f>
        <v>33</v>
      </c>
      <c r="Q40" s="24">
        <f>SUM(Q38:Q39)</f>
        <v>0</v>
      </c>
      <c r="R40" s="24">
        <f>SUM(R38:R39)</f>
        <v>74</v>
      </c>
      <c r="S40" s="24">
        <f>SUM(S38:S39)</f>
        <v>0</v>
      </c>
      <c r="T40" s="24">
        <f>SUM(T38:T39)</f>
        <v>0</v>
      </c>
      <c r="U40" s="24">
        <f>SUM(U38:U39)</f>
        <v>108</v>
      </c>
      <c r="V40" s="26">
        <f>IF(I40-Q40=0,"",IF(D40="",(P40+S40)/(I40-Q40),IF(AND(D40&lt;&gt;"",(P40+S40)/(I40-Q40)&gt;=50%),(P40+S40)/(I40-Q40),"")))</f>
        <v>0.308411214953271</v>
      </c>
      <c r="W40" s="26">
        <f>IF(I40=O40,"",IF(V40="",0,(P40+Q40+S40-O40)/(I40-O40)))</f>
        <v>0.26</v>
      </c>
      <c r="X40" s="30"/>
      <c r="Y40" s="30"/>
      <c r="Z40" s="30"/>
      <c r="AA40" s="30"/>
      <c r="AB40" s="34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</row>
    <row r="41" spans="1:28" s="30" customFormat="1" ht="26.25" customHeight="1">
      <c r="A41" s="32"/>
      <c r="B41" s="131" t="s">
        <v>35</v>
      </c>
      <c r="C41" s="14" t="s">
        <v>2</v>
      </c>
      <c r="D41" s="29"/>
      <c r="E41" s="16" t="s">
        <v>27</v>
      </c>
      <c r="F41" s="15"/>
      <c r="G41" s="15"/>
      <c r="H41" s="15"/>
      <c r="I41" s="17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8"/>
      <c r="W41" s="18"/>
      <c r="AB41" s="34"/>
    </row>
    <row r="42" spans="1:28" s="30" customFormat="1" ht="19.5" customHeight="1">
      <c r="A42" s="32">
        <v>10</v>
      </c>
      <c r="B42" s="131"/>
      <c r="C42" s="20" t="str">
        <f>IF(A42="","VARA",VLOOKUP(A42,'[1]varas'!$A$4:$B$67,2))</f>
        <v>10ª VT Recife</v>
      </c>
      <c r="D42" s="15"/>
      <c r="E42" s="17"/>
      <c r="F42" s="15">
        <f>42+32+5</f>
        <v>79</v>
      </c>
      <c r="G42" s="15">
        <v>0</v>
      </c>
      <c r="H42" s="15">
        <v>34</v>
      </c>
      <c r="I42" s="17">
        <f>SUM(F42:H42)</f>
        <v>113</v>
      </c>
      <c r="J42" s="15">
        <v>20</v>
      </c>
      <c r="K42" s="15">
        <v>17</v>
      </c>
      <c r="L42" s="15">
        <v>4</v>
      </c>
      <c r="M42" s="15">
        <v>1</v>
      </c>
      <c r="N42" s="15">
        <v>0</v>
      </c>
      <c r="O42" s="15">
        <v>32</v>
      </c>
      <c r="P42" s="15">
        <f>SUM(J42:O42)</f>
        <v>74</v>
      </c>
      <c r="Q42" s="15">
        <v>0</v>
      </c>
      <c r="R42" s="15">
        <v>39</v>
      </c>
      <c r="S42" s="15">
        <v>0</v>
      </c>
      <c r="T42" s="15">
        <v>0</v>
      </c>
      <c r="U42" s="15">
        <v>149</v>
      </c>
      <c r="V42" s="18"/>
      <c r="W42" s="18"/>
      <c r="AB42" s="34"/>
    </row>
    <row r="43" spans="1:28" s="30" customFormat="1" ht="21.75" customHeight="1">
      <c r="A43" s="32"/>
      <c r="B43" s="131"/>
      <c r="C43" s="21" t="s">
        <v>12</v>
      </c>
      <c r="D43" s="33"/>
      <c r="E43" s="23"/>
      <c r="F43" s="24">
        <f>SUM(F41:F42)</f>
        <v>79</v>
      </c>
      <c r="G43" s="24">
        <f>SUM(G41:G42)</f>
        <v>0</v>
      </c>
      <c r="H43" s="24">
        <f>SUM(H41:H42)</f>
        <v>34</v>
      </c>
      <c r="I43" s="25">
        <f>SUM(F43:H43)</f>
        <v>113</v>
      </c>
      <c r="J43" s="24">
        <f aca="true" t="shared" si="11" ref="J43:O43">SUM(J41:J42)</f>
        <v>20</v>
      </c>
      <c r="K43" s="24">
        <f t="shared" si="11"/>
        <v>17</v>
      </c>
      <c r="L43" s="24">
        <f t="shared" si="11"/>
        <v>4</v>
      </c>
      <c r="M43" s="24">
        <f t="shared" si="11"/>
        <v>1</v>
      </c>
      <c r="N43" s="24">
        <f t="shared" si="11"/>
        <v>0</v>
      </c>
      <c r="O43" s="24">
        <f t="shared" si="11"/>
        <v>32</v>
      </c>
      <c r="P43" s="24">
        <f>SUM(J43:O43)</f>
        <v>74</v>
      </c>
      <c r="Q43" s="24">
        <f>SUM(Q41:Q42)</f>
        <v>0</v>
      </c>
      <c r="R43" s="24">
        <f>SUM(R41:R42)</f>
        <v>39</v>
      </c>
      <c r="S43" s="24">
        <f>SUM(S41:S42)</f>
        <v>0</v>
      </c>
      <c r="T43" s="24">
        <f>SUM(T41:T42)</f>
        <v>0</v>
      </c>
      <c r="U43" s="24">
        <f>SUM(U41:U42)</f>
        <v>149</v>
      </c>
      <c r="V43" s="26">
        <f>IF(I43-Q43=0,"",IF(D43="",(P43+S43)/(I43-Q43),IF(AND(D43&lt;&gt;"",(P43+S43)/(I43-Q43)&gt;=50%),(P43+S43)/(I43-Q43),"")))</f>
        <v>0.6548672566371682</v>
      </c>
      <c r="W43" s="26">
        <f>IF(I43=O43,"",IF(V43="",0,(P43+Q43+S43-O43)/(I43-O43)))</f>
        <v>0.5185185185185185</v>
      </c>
      <c r="AB43" s="34"/>
    </row>
    <row r="44" spans="1:41" s="39" customFormat="1" ht="21" customHeight="1">
      <c r="A44" s="32"/>
      <c r="B44" s="131" t="s">
        <v>36</v>
      </c>
      <c r="C44" s="14" t="s">
        <v>2</v>
      </c>
      <c r="D44" s="29"/>
      <c r="E44" s="16" t="s">
        <v>27</v>
      </c>
      <c r="F44" s="15"/>
      <c r="G44" s="15"/>
      <c r="H44" s="15"/>
      <c r="I44" s="17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8"/>
      <c r="W44" s="18"/>
      <c r="X44" s="30"/>
      <c r="Y44" s="30"/>
      <c r="Z44" s="30"/>
      <c r="AA44" s="30"/>
      <c r="AB44" s="34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</row>
    <row r="45" spans="1:41" s="39" customFormat="1" ht="25.5" customHeight="1">
      <c r="A45" s="32">
        <v>11</v>
      </c>
      <c r="B45" s="131"/>
      <c r="C45" s="20" t="str">
        <f>IF(A45="","VARA",VLOOKUP(A45,'[1]varas'!$A$4:$B$67,2))</f>
        <v>11ª VT Recife</v>
      </c>
      <c r="D45" s="15"/>
      <c r="E45" s="16"/>
      <c r="F45" s="15">
        <f>33+13+4+3</f>
        <v>53</v>
      </c>
      <c r="G45" s="15">
        <v>7</v>
      </c>
      <c r="H45" s="15">
        <v>0</v>
      </c>
      <c r="I45" s="17">
        <f>SUM(F45:H45)</f>
        <v>60</v>
      </c>
      <c r="J45" s="15">
        <v>34</v>
      </c>
      <c r="K45" s="15">
        <v>6</v>
      </c>
      <c r="L45" s="15">
        <v>4</v>
      </c>
      <c r="M45" s="15">
        <v>3</v>
      </c>
      <c r="N45" s="15">
        <v>0</v>
      </c>
      <c r="O45" s="15">
        <v>13</v>
      </c>
      <c r="P45" s="15">
        <f>SUM(J45:O45)</f>
        <v>60</v>
      </c>
      <c r="Q45" s="15">
        <v>0</v>
      </c>
      <c r="R45" s="15">
        <v>0</v>
      </c>
      <c r="S45" s="15">
        <v>0</v>
      </c>
      <c r="T45" s="15">
        <v>0</v>
      </c>
      <c r="U45" s="15">
        <v>53</v>
      </c>
      <c r="V45" s="18"/>
      <c r="W45" s="18"/>
      <c r="X45" s="30"/>
      <c r="Y45" s="30"/>
      <c r="Z45" s="30"/>
      <c r="AA45" s="30"/>
      <c r="AB45" s="34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</row>
    <row r="46" spans="1:41" s="39" customFormat="1" ht="24" customHeight="1">
      <c r="A46" s="32">
        <v>59</v>
      </c>
      <c r="B46" s="131"/>
      <c r="C46" s="20" t="str">
        <f>IF(A46="","VARA",VLOOKUP(A46,'[1]varas'!$A$4:$B$67,2))</f>
        <v>VT Salgueiro</v>
      </c>
      <c r="D46" s="15"/>
      <c r="E46" s="16"/>
      <c r="F46" s="15">
        <v>29</v>
      </c>
      <c r="G46" s="15">
        <v>0</v>
      </c>
      <c r="H46" s="15">
        <v>0</v>
      </c>
      <c r="I46" s="17">
        <f>SUM(F46:H46)</f>
        <v>29</v>
      </c>
      <c r="J46" s="15">
        <v>5</v>
      </c>
      <c r="K46" s="15">
        <v>1</v>
      </c>
      <c r="L46" s="15">
        <v>1</v>
      </c>
      <c r="M46" s="15">
        <v>1</v>
      </c>
      <c r="N46" s="15">
        <v>0</v>
      </c>
      <c r="O46" s="15">
        <v>7</v>
      </c>
      <c r="P46" s="15">
        <f>SUM(J46:O46)</f>
        <v>15</v>
      </c>
      <c r="Q46" s="15">
        <v>14</v>
      </c>
      <c r="R46" s="15">
        <v>0</v>
      </c>
      <c r="S46" s="15">
        <v>0</v>
      </c>
      <c r="T46" s="15">
        <v>0</v>
      </c>
      <c r="U46" s="15">
        <v>27</v>
      </c>
      <c r="V46" s="18"/>
      <c r="W46" s="18"/>
      <c r="X46" s="30"/>
      <c r="Y46" s="30"/>
      <c r="Z46" s="30"/>
      <c r="AA46" s="30"/>
      <c r="AB46" s="34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</row>
    <row r="47" spans="1:41" s="39" customFormat="1" ht="22.5" customHeight="1">
      <c r="A47" s="32">
        <v>58</v>
      </c>
      <c r="B47" s="131"/>
      <c r="C47" s="20" t="str">
        <f>IF(A47="","VARA",VLOOKUP(A47,'[1]varas'!$A$4:$B$67,2))</f>
        <v>VT S.Talhada</v>
      </c>
      <c r="D47" s="15"/>
      <c r="E47" s="16"/>
      <c r="F47" s="15">
        <v>0</v>
      </c>
      <c r="G47" s="15">
        <v>0</v>
      </c>
      <c r="H47" s="15">
        <v>0</v>
      </c>
      <c r="I47" s="17">
        <f>SUM(F47:H47)</f>
        <v>0</v>
      </c>
      <c r="J47" s="15">
        <v>0</v>
      </c>
      <c r="K47" s="15">
        <v>0</v>
      </c>
      <c r="L47" s="15">
        <v>0</v>
      </c>
      <c r="M47" s="15">
        <v>0</v>
      </c>
      <c r="N47" s="15">
        <v>0</v>
      </c>
      <c r="O47" s="15">
        <v>0</v>
      </c>
      <c r="P47" s="15">
        <f>SUM(J47:O47)</f>
        <v>0</v>
      </c>
      <c r="Q47" s="15">
        <v>0</v>
      </c>
      <c r="R47" s="15">
        <v>0</v>
      </c>
      <c r="S47" s="15">
        <v>0</v>
      </c>
      <c r="T47" s="15">
        <v>0</v>
      </c>
      <c r="U47" s="15">
        <v>0</v>
      </c>
      <c r="V47" s="18"/>
      <c r="W47" s="18"/>
      <c r="X47" s="30"/>
      <c r="Y47" s="30"/>
      <c r="Z47" s="30"/>
      <c r="AA47" s="30"/>
      <c r="AB47" s="34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</row>
    <row r="48" spans="1:41" s="39" customFormat="1" ht="18.75" customHeight="1">
      <c r="A48" s="32">
        <v>63</v>
      </c>
      <c r="B48" s="131"/>
      <c r="C48" s="20" t="str">
        <f>IF(A48="","VARA",VLOOKUP(A48,'[1]varas'!$A$4:$B$67,2))</f>
        <v>PAJT Sertânia</v>
      </c>
      <c r="D48" s="15"/>
      <c r="E48" s="16"/>
      <c r="F48" s="15">
        <v>44</v>
      </c>
      <c r="G48" s="15">
        <v>0</v>
      </c>
      <c r="H48" s="15">
        <v>0</v>
      </c>
      <c r="I48" s="17">
        <f>SUM(F48:H48)</f>
        <v>44</v>
      </c>
      <c r="J48" s="15">
        <v>11</v>
      </c>
      <c r="K48" s="15">
        <v>15</v>
      </c>
      <c r="L48" s="15">
        <v>10</v>
      </c>
      <c r="M48" s="15">
        <v>0</v>
      </c>
      <c r="N48" s="15">
        <v>0</v>
      </c>
      <c r="O48" s="15">
        <v>0</v>
      </c>
      <c r="P48" s="15">
        <v>36</v>
      </c>
      <c r="Q48" s="15">
        <v>8</v>
      </c>
      <c r="R48" s="15">
        <v>0</v>
      </c>
      <c r="S48" s="15">
        <v>0</v>
      </c>
      <c r="T48" s="15">
        <v>0</v>
      </c>
      <c r="U48" s="15">
        <v>74</v>
      </c>
      <c r="V48" s="18"/>
      <c r="W48" s="18"/>
      <c r="X48" s="30"/>
      <c r="Y48" s="30"/>
      <c r="Z48" s="30"/>
      <c r="AA48" s="30"/>
      <c r="AB48" s="34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</row>
    <row r="49" spans="1:28" s="30" customFormat="1" ht="21.75" customHeight="1">
      <c r="A49" s="32"/>
      <c r="B49" s="131"/>
      <c r="C49" s="21" t="s">
        <v>12</v>
      </c>
      <c r="D49" s="33"/>
      <c r="E49" s="23"/>
      <c r="F49" s="24">
        <f>SUM(F44:F48)</f>
        <v>126</v>
      </c>
      <c r="G49" s="24">
        <f>SUM(G44:G48)</f>
        <v>7</v>
      </c>
      <c r="H49" s="24">
        <f>SUM(H44:H48)</f>
        <v>0</v>
      </c>
      <c r="I49" s="25">
        <f>SUM(F49:H49)</f>
        <v>133</v>
      </c>
      <c r="J49" s="24">
        <f aca="true" t="shared" si="12" ref="J49:O49">SUM(J44:J48)</f>
        <v>50</v>
      </c>
      <c r="K49" s="24">
        <f t="shared" si="12"/>
        <v>22</v>
      </c>
      <c r="L49" s="24">
        <f t="shared" si="12"/>
        <v>15</v>
      </c>
      <c r="M49" s="24">
        <f t="shared" si="12"/>
        <v>4</v>
      </c>
      <c r="N49" s="24">
        <f t="shared" si="12"/>
        <v>0</v>
      </c>
      <c r="O49" s="24">
        <f t="shared" si="12"/>
        <v>20</v>
      </c>
      <c r="P49" s="24">
        <f>SUM(J49:O49)</f>
        <v>111</v>
      </c>
      <c r="Q49" s="24">
        <f>SUM(Q44:Q48)</f>
        <v>22</v>
      </c>
      <c r="R49" s="24">
        <f>SUM(R44:R48)</f>
        <v>0</v>
      </c>
      <c r="S49" s="24">
        <f>SUM(S44:S48)</f>
        <v>0</v>
      </c>
      <c r="T49" s="24">
        <f>SUM(T44:T48)</f>
        <v>0</v>
      </c>
      <c r="U49" s="24">
        <f>SUM(U44:U48)</f>
        <v>154</v>
      </c>
      <c r="V49" s="26">
        <f>IF(I49-Q49=0,"",IF(D49="",(P49+S49)/(I49-Q49),IF(AND(D49&lt;&gt;"",(P49+S49)/(I49-Q49)&gt;=50%),(P49+S49)/(I49-Q49),"")))</f>
        <v>1</v>
      </c>
      <c r="W49" s="26">
        <f>IF(I49=O49,"",IF(V49="",0,(P49+Q49+S49-O49)/(I49-O49)))</f>
        <v>1</v>
      </c>
      <c r="AB49" s="34"/>
    </row>
    <row r="50" spans="1:28" s="30" customFormat="1" ht="20.25" customHeight="1">
      <c r="A50" s="32"/>
      <c r="B50" s="131" t="s">
        <v>37</v>
      </c>
      <c r="C50" s="14" t="s">
        <v>2</v>
      </c>
      <c r="D50" s="29"/>
      <c r="E50" s="16" t="s">
        <v>27</v>
      </c>
      <c r="F50" s="15"/>
      <c r="G50" s="15"/>
      <c r="H50" s="15"/>
      <c r="I50" s="17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8"/>
      <c r="W50" s="18"/>
      <c r="AB50" s="34"/>
    </row>
    <row r="51" spans="1:28" s="30" customFormat="1" ht="18" customHeight="1">
      <c r="A51" s="32">
        <v>30</v>
      </c>
      <c r="B51" s="131"/>
      <c r="C51" s="20" t="str">
        <f>IF(A51="","VARA",VLOOKUP(A51,'[1]varas'!$A$4:$B$67,2))</f>
        <v>3ª VT Caruaru</v>
      </c>
      <c r="D51" s="15"/>
      <c r="E51" s="16"/>
      <c r="F51" s="15">
        <f>71+43+11</f>
        <v>125</v>
      </c>
      <c r="G51" s="15">
        <v>0</v>
      </c>
      <c r="H51" s="15">
        <v>0</v>
      </c>
      <c r="I51" s="17">
        <f>SUM(F51:H51)</f>
        <v>125</v>
      </c>
      <c r="J51" s="15">
        <v>66</v>
      </c>
      <c r="K51" s="15">
        <v>5</v>
      </c>
      <c r="L51" s="15">
        <v>11</v>
      </c>
      <c r="M51" s="15">
        <v>0</v>
      </c>
      <c r="N51" s="15">
        <v>0</v>
      </c>
      <c r="O51" s="15">
        <v>43</v>
      </c>
      <c r="P51" s="15">
        <f>SUM(J51:O51)</f>
        <v>125</v>
      </c>
      <c r="Q51" s="15">
        <v>0</v>
      </c>
      <c r="R51" s="15">
        <v>0</v>
      </c>
      <c r="S51" s="15">
        <v>0</v>
      </c>
      <c r="T51" s="15">
        <v>0</v>
      </c>
      <c r="U51" s="15">
        <v>142</v>
      </c>
      <c r="V51" s="18"/>
      <c r="W51" s="18"/>
      <c r="AB51" s="34"/>
    </row>
    <row r="52" spans="1:28" s="30" customFormat="1" ht="19.5" customHeight="1">
      <c r="A52" s="32"/>
      <c r="B52" s="131"/>
      <c r="C52" s="21" t="s">
        <v>12</v>
      </c>
      <c r="D52" s="33"/>
      <c r="E52" s="23"/>
      <c r="F52" s="24">
        <f>SUM(F50:F51)</f>
        <v>125</v>
      </c>
      <c r="G52" s="24">
        <f>SUM(G50:G51)</f>
        <v>0</v>
      </c>
      <c r="H52" s="24">
        <f>SUM(H50:H51)</f>
        <v>0</v>
      </c>
      <c r="I52" s="40">
        <f>SUM(F52:H52)</f>
        <v>125</v>
      </c>
      <c r="J52" s="24">
        <f aca="true" t="shared" si="13" ref="J52:O52">SUM(J50:J51)</f>
        <v>66</v>
      </c>
      <c r="K52" s="24">
        <f t="shared" si="13"/>
        <v>5</v>
      </c>
      <c r="L52" s="24">
        <f t="shared" si="13"/>
        <v>11</v>
      </c>
      <c r="M52" s="24">
        <f t="shared" si="13"/>
        <v>0</v>
      </c>
      <c r="N52" s="24">
        <f t="shared" si="13"/>
        <v>0</v>
      </c>
      <c r="O52" s="24">
        <f t="shared" si="13"/>
        <v>43</v>
      </c>
      <c r="P52" s="24">
        <f>SUM(J52:O52)</f>
        <v>125</v>
      </c>
      <c r="Q52" s="24">
        <f>SUM(Q50:Q51)</f>
        <v>0</v>
      </c>
      <c r="R52" s="24">
        <f>SUM(R50:R51)</f>
        <v>0</v>
      </c>
      <c r="S52" s="24">
        <f>SUM(S50:S51)</f>
        <v>0</v>
      </c>
      <c r="T52" s="24">
        <f>SUM(T50:T51)</f>
        <v>0</v>
      </c>
      <c r="U52" s="24">
        <f>SUM(U50:U51)</f>
        <v>142</v>
      </c>
      <c r="V52" s="26">
        <f>IF(I52-Q52=0,"",IF(D52="",(P52+S52)/(I52-Q52),IF(AND(D52&lt;&gt;"",(P52+S52)/(I52-Q52)&gt;=50%),(P52+S52)/(I52-Q52),"")))</f>
        <v>1</v>
      </c>
      <c r="W52" s="26">
        <f>IF(I52=O52,"",IF(V52="",0,(P52+Q52+S52-O52)/(I52-O52)))</f>
        <v>1</v>
      </c>
      <c r="AB52" s="34"/>
    </row>
    <row r="53" spans="1:28" s="30" customFormat="1" ht="23.25" customHeight="1">
      <c r="A53" s="32"/>
      <c r="B53" s="131" t="s">
        <v>38</v>
      </c>
      <c r="C53" s="14" t="s">
        <v>2</v>
      </c>
      <c r="D53" s="29" t="s">
        <v>159</v>
      </c>
      <c r="E53" s="16" t="s">
        <v>167</v>
      </c>
      <c r="F53" s="15"/>
      <c r="G53" s="15"/>
      <c r="H53" s="15"/>
      <c r="I53" s="17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8"/>
      <c r="W53" s="18"/>
      <c r="AB53" s="34"/>
    </row>
    <row r="54" spans="1:28" s="30" customFormat="1" ht="19.5" customHeight="1">
      <c r="A54" s="32">
        <v>11</v>
      </c>
      <c r="B54" s="131"/>
      <c r="C54" s="20" t="str">
        <f>IF(A54="","VARA",VLOOKUP(A54,'[1]varas'!$A$4:$B$67,2))</f>
        <v>11ª VT Recife</v>
      </c>
      <c r="D54" s="15"/>
      <c r="E54" s="16"/>
      <c r="F54" s="15">
        <v>0</v>
      </c>
      <c r="G54" s="15">
        <v>0</v>
      </c>
      <c r="H54" s="15">
        <v>0</v>
      </c>
      <c r="I54" s="17">
        <f>SUM(F54:H54)</f>
        <v>0</v>
      </c>
      <c r="J54" s="15">
        <v>0</v>
      </c>
      <c r="K54" s="15">
        <v>0</v>
      </c>
      <c r="L54" s="15">
        <v>0</v>
      </c>
      <c r="M54" s="15">
        <v>0</v>
      </c>
      <c r="N54" s="15">
        <v>0</v>
      </c>
      <c r="O54" s="15">
        <v>0</v>
      </c>
      <c r="P54" s="15">
        <f>SUM(J54:O54)</f>
        <v>0</v>
      </c>
      <c r="Q54" s="15">
        <v>0</v>
      </c>
      <c r="R54" s="15">
        <v>0</v>
      </c>
      <c r="S54" s="15">
        <v>0</v>
      </c>
      <c r="T54" s="15">
        <v>0</v>
      </c>
      <c r="U54" s="15">
        <v>0</v>
      </c>
      <c r="V54" s="18"/>
      <c r="W54" s="18"/>
      <c r="AB54" s="34"/>
    </row>
    <row r="55" spans="1:28" s="45" customFormat="1" ht="18.75" customHeight="1">
      <c r="A55" s="44"/>
      <c r="B55" s="131"/>
      <c r="C55" s="21" t="s">
        <v>12</v>
      </c>
      <c r="D55" s="33"/>
      <c r="E55" s="23"/>
      <c r="F55" s="24">
        <f>SUM(F53:F54)</f>
        <v>0</v>
      </c>
      <c r="G55" s="24">
        <f>SUM(G53:G54)</f>
        <v>0</v>
      </c>
      <c r="H55" s="24">
        <f>SUM(H53:H54)</f>
        <v>0</v>
      </c>
      <c r="I55" s="40">
        <f>SUM(F55:H55)</f>
        <v>0</v>
      </c>
      <c r="J55" s="24">
        <f aca="true" t="shared" si="14" ref="J55:O55">SUM(J53:J54)</f>
        <v>0</v>
      </c>
      <c r="K55" s="24">
        <f t="shared" si="14"/>
        <v>0</v>
      </c>
      <c r="L55" s="24">
        <f t="shared" si="14"/>
        <v>0</v>
      </c>
      <c r="M55" s="24">
        <f t="shared" si="14"/>
        <v>0</v>
      </c>
      <c r="N55" s="24">
        <f t="shared" si="14"/>
        <v>0</v>
      </c>
      <c r="O55" s="24">
        <f t="shared" si="14"/>
        <v>0</v>
      </c>
      <c r="P55" s="24">
        <f>SUM(J55:O55)</f>
        <v>0</v>
      </c>
      <c r="Q55" s="24">
        <f>SUM(Q53:Q54)</f>
        <v>0</v>
      </c>
      <c r="R55" s="24">
        <f>SUM(R53:R54)</f>
        <v>0</v>
      </c>
      <c r="S55" s="24">
        <f>SUM(S53:S54)</f>
        <v>0</v>
      </c>
      <c r="T55" s="24">
        <f>SUM(T53:T54)</f>
        <v>0</v>
      </c>
      <c r="U55" s="24">
        <f>SUM(U53:U54)</f>
        <v>0</v>
      </c>
      <c r="V55" s="26">
        <f>IF(I55-Q55=0,"",IF(D55="",(P55+S55)/(I55-Q55),IF(AND(D55&lt;&gt;"",(P55+S55)/(I55-Q55)&gt;=50%),(P55+S55)/(I55-Q55),"")))</f>
      </c>
      <c r="W55" s="26">
        <f>IF(I55=O55,"",IF(V55="",0,(P55+Q55+S55-O55)/(I55-O55)))</f>
      </c>
      <c r="AB55" s="38"/>
    </row>
    <row r="56" spans="1:28" s="30" customFormat="1" ht="23.25" customHeight="1">
      <c r="A56" s="32"/>
      <c r="B56" s="132" t="s">
        <v>39</v>
      </c>
      <c r="C56" s="105" t="s">
        <v>2</v>
      </c>
      <c r="D56" s="29"/>
      <c r="E56" s="16" t="s">
        <v>27</v>
      </c>
      <c r="F56" s="15"/>
      <c r="G56" s="15"/>
      <c r="H56" s="15"/>
      <c r="I56" s="17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8"/>
      <c r="W56" s="18"/>
      <c r="AB56" s="34"/>
    </row>
    <row r="57" spans="1:28" s="30" customFormat="1" ht="21" customHeight="1">
      <c r="A57" s="32">
        <v>55</v>
      </c>
      <c r="B57" s="133"/>
      <c r="C57" s="106" t="str">
        <f>IF(A57="","VARA",VLOOKUP(A57,'[1]varas'!$A$4:$B$67,2))</f>
        <v>VT Pesqueira</v>
      </c>
      <c r="D57" s="15"/>
      <c r="E57" s="17"/>
      <c r="F57" s="15">
        <f>48+35+1</f>
        <v>84</v>
      </c>
      <c r="G57" s="15">
        <v>17</v>
      </c>
      <c r="H57" s="15">
        <v>0</v>
      </c>
      <c r="I57" s="17">
        <f>SUM(F57:H57)</f>
        <v>101</v>
      </c>
      <c r="J57" s="15">
        <v>47</v>
      </c>
      <c r="K57" s="15">
        <v>4</v>
      </c>
      <c r="L57" s="15">
        <v>0</v>
      </c>
      <c r="M57" s="15">
        <v>1</v>
      </c>
      <c r="N57" s="15">
        <v>0</v>
      </c>
      <c r="O57" s="15">
        <v>35</v>
      </c>
      <c r="P57" s="15">
        <f>SUM(J57:O57)</f>
        <v>87</v>
      </c>
      <c r="Q57" s="15">
        <v>10</v>
      </c>
      <c r="R57" s="15">
        <v>3</v>
      </c>
      <c r="S57" s="15">
        <v>0</v>
      </c>
      <c r="T57" s="15">
        <v>1</v>
      </c>
      <c r="U57" s="15">
        <v>170</v>
      </c>
      <c r="V57" s="18"/>
      <c r="W57" s="18"/>
      <c r="AB57" s="34"/>
    </row>
    <row r="58" spans="2:28" s="32" customFormat="1" ht="18" customHeight="1">
      <c r="B58" s="134"/>
      <c r="C58" s="107" t="s">
        <v>12</v>
      </c>
      <c r="D58" s="33"/>
      <c r="E58" s="23"/>
      <c r="F58" s="24">
        <f>SUM(F56:F57)</f>
        <v>84</v>
      </c>
      <c r="G58" s="24">
        <f>SUM(G56:G57)</f>
        <v>17</v>
      </c>
      <c r="H58" s="24">
        <f>SUM(H56:H57)</f>
        <v>0</v>
      </c>
      <c r="I58" s="40">
        <f>SUM(F58:H58)</f>
        <v>101</v>
      </c>
      <c r="J58" s="24">
        <f aca="true" t="shared" si="15" ref="J58:O58">SUM(J56:J57)</f>
        <v>47</v>
      </c>
      <c r="K58" s="24">
        <f t="shared" si="15"/>
        <v>4</v>
      </c>
      <c r="L58" s="24">
        <f t="shared" si="15"/>
        <v>0</v>
      </c>
      <c r="M58" s="24">
        <f t="shared" si="15"/>
        <v>1</v>
      </c>
      <c r="N58" s="24">
        <f t="shared" si="15"/>
        <v>0</v>
      </c>
      <c r="O58" s="24">
        <f t="shared" si="15"/>
        <v>35</v>
      </c>
      <c r="P58" s="24">
        <f>SUM(J58:O58)</f>
        <v>87</v>
      </c>
      <c r="Q58" s="24">
        <f>SUM(Q56:Q57)</f>
        <v>10</v>
      </c>
      <c r="R58" s="24">
        <f>SUM(R56:R57)</f>
        <v>3</v>
      </c>
      <c r="S58" s="24">
        <f>SUM(S56:S57)</f>
        <v>0</v>
      </c>
      <c r="T58" s="24">
        <f>SUM(T56:T57)</f>
        <v>1</v>
      </c>
      <c r="U58" s="24">
        <f>SUM(U56:U57)</f>
        <v>170</v>
      </c>
      <c r="V58" s="26">
        <f>IF(I58-Q58=0,"",IF(D58="",(P58+S58)/(I58-Q58),IF(AND(D58&lt;&gt;"",(P58+S58)/(I58-Q58)&gt;=50%),(P58+S58)/(I58-Q58),"")))</f>
        <v>0.9560439560439561</v>
      </c>
      <c r="W58" s="26">
        <f>IF(I58=O58,"",IF(V58="",0,(P58+Q58+S58-O58)/(I58-O58)))</f>
        <v>0.9393939393939394</v>
      </c>
      <c r="AB58" s="46"/>
    </row>
    <row r="59" spans="1:41" s="39" customFormat="1" ht="26.25" customHeight="1">
      <c r="A59" s="32"/>
      <c r="B59" s="132" t="s">
        <v>40</v>
      </c>
      <c r="C59" s="105" t="s">
        <v>2</v>
      </c>
      <c r="D59" s="29" t="s">
        <v>30</v>
      </c>
      <c r="E59" s="16" t="s">
        <v>208</v>
      </c>
      <c r="F59" s="15"/>
      <c r="G59" s="15"/>
      <c r="H59" s="15"/>
      <c r="I59" s="17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8"/>
      <c r="W59" s="18"/>
      <c r="X59" s="30"/>
      <c r="Y59" s="30"/>
      <c r="Z59" s="30"/>
      <c r="AA59" s="30"/>
      <c r="AB59" s="34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</row>
    <row r="60" spans="1:41" s="39" customFormat="1" ht="23.25" customHeight="1">
      <c r="A60" s="32">
        <v>8</v>
      </c>
      <c r="B60" s="133"/>
      <c r="C60" s="106" t="str">
        <f>IF(A60="","VARA",VLOOKUP(A60,'[1]varas'!$A$4:$B$67,2))</f>
        <v>8ª VT Recife</v>
      </c>
      <c r="D60" s="29"/>
      <c r="E60" s="16"/>
      <c r="F60" s="15">
        <f>32+23+7+1</f>
        <v>63</v>
      </c>
      <c r="G60" s="15">
        <v>5</v>
      </c>
      <c r="H60" s="15">
        <v>0</v>
      </c>
      <c r="I60" s="17">
        <f>SUM(F60:H60)</f>
        <v>68</v>
      </c>
      <c r="J60" s="15">
        <v>27</v>
      </c>
      <c r="K60" s="15">
        <v>10</v>
      </c>
      <c r="L60" s="15">
        <v>7</v>
      </c>
      <c r="M60" s="15">
        <v>1</v>
      </c>
      <c r="N60" s="15">
        <v>0</v>
      </c>
      <c r="O60" s="15">
        <v>23</v>
      </c>
      <c r="P60" s="15">
        <f>SUM(J60:O60)</f>
        <v>68</v>
      </c>
      <c r="Q60" s="15">
        <v>0</v>
      </c>
      <c r="R60" s="15">
        <v>0</v>
      </c>
      <c r="S60" s="15">
        <v>0</v>
      </c>
      <c r="T60" s="15">
        <v>0</v>
      </c>
      <c r="U60" s="15">
        <v>94</v>
      </c>
      <c r="V60" s="18"/>
      <c r="W60" s="18"/>
      <c r="X60" s="30"/>
      <c r="Y60" s="30"/>
      <c r="Z60" s="30"/>
      <c r="AA60" s="30"/>
      <c r="AB60" s="34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</row>
    <row r="61" spans="1:28" s="30" customFormat="1" ht="21" customHeight="1">
      <c r="A61" s="32"/>
      <c r="B61" s="134"/>
      <c r="C61" s="107" t="s">
        <v>12</v>
      </c>
      <c r="D61" s="33"/>
      <c r="E61" s="23"/>
      <c r="F61" s="24">
        <f>SUM(F59:F60)</f>
        <v>63</v>
      </c>
      <c r="G61" s="24">
        <f>SUM(G59:G60)</f>
        <v>5</v>
      </c>
      <c r="H61" s="24">
        <f>SUM(H59:H60)</f>
        <v>0</v>
      </c>
      <c r="I61" s="25">
        <f>SUM(F61:H61)</f>
        <v>68</v>
      </c>
      <c r="J61" s="24">
        <f aca="true" t="shared" si="16" ref="J61:O61">SUM(J59:J60)</f>
        <v>27</v>
      </c>
      <c r="K61" s="24">
        <f t="shared" si="16"/>
        <v>10</v>
      </c>
      <c r="L61" s="24">
        <f t="shared" si="16"/>
        <v>7</v>
      </c>
      <c r="M61" s="24">
        <f t="shared" si="16"/>
        <v>1</v>
      </c>
      <c r="N61" s="24">
        <f t="shared" si="16"/>
        <v>0</v>
      </c>
      <c r="O61" s="24">
        <f t="shared" si="16"/>
        <v>23</v>
      </c>
      <c r="P61" s="24">
        <f>SUM(J61:O61)</f>
        <v>68</v>
      </c>
      <c r="Q61" s="24">
        <f>SUM(Q59:Q60)</f>
        <v>0</v>
      </c>
      <c r="R61" s="24">
        <f>SUM(R59:R60)</f>
        <v>0</v>
      </c>
      <c r="S61" s="24">
        <f>SUM(S59:S60)</f>
        <v>0</v>
      </c>
      <c r="T61" s="24">
        <f>SUM(T59:T60)</f>
        <v>0</v>
      </c>
      <c r="U61" s="24">
        <f>SUM(U59:U60)</f>
        <v>94</v>
      </c>
      <c r="V61" s="26">
        <f>IF(I61-Q61=0,"",IF(D61="",(P61+S61)/(I61-Q61),IF(AND(D61&lt;&gt;"",(P61+S61)/(I61-Q61)&gt;=50%),(P61+S61)/(I61-Q61),"")))</f>
        <v>1</v>
      </c>
      <c r="W61" s="26">
        <f>IF(I61=O61,"",IF(V61="",0,(P61+Q61+S61-O61)/(I61-O61)))</f>
        <v>1</v>
      </c>
      <c r="AB61" s="34"/>
    </row>
    <row r="62" spans="1:28" s="30" customFormat="1" ht="24" customHeight="1">
      <c r="A62" s="32"/>
      <c r="B62" s="132" t="s">
        <v>41</v>
      </c>
      <c r="C62" s="105" t="s">
        <v>156</v>
      </c>
      <c r="D62" s="15"/>
      <c r="E62" s="16" t="s">
        <v>27</v>
      </c>
      <c r="F62" s="15"/>
      <c r="G62" s="15"/>
      <c r="H62" s="15"/>
      <c r="I62" s="17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8"/>
      <c r="W62" s="18"/>
      <c r="AB62" s="34"/>
    </row>
    <row r="63" spans="1:28" s="30" customFormat="1" ht="17.25" customHeight="1">
      <c r="A63" s="32">
        <v>38</v>
      </c>
      <c r="B63" s="133"/>
      <c r="C63" s="106" t="str">
        <f>IF(A63="","VARA",VLOOKUP(A63,'[1]varas'!$A$4:$B$67,2))</f>
        <v>1ª VT Olinda</v>
      </c>
      <c r="D63" s="15"/>
      <c r="E63" s="16"/>
      <c r="F63" s="15">
        <v>0</v>
      </c>
      <c r="G63" s="15">
        <v>0</v>
      </c>
      <c r="H63" s="15">
        <v>0</v>
      </c>
      <c r="I63" s="17">
        <f>SUM(F63:H63)</f>
        <v>0</v>
      </c>
      <c r="J63" s="15">
        <v>0</v>
      </c>
      <c r="K63" s="15">
        <v>0</v>
      </c>
      <c r="L63" s="15">
        <v>0</v>
      </c>
      <c r="M63" s="15">
        <v>0</v>
      </c>
      <c r="N63" s="15">
        <v>0</v>
      </c>
      <c r="O63" s="15">
        <v>0</v>
      </c>
      <c r="P63" s="15">
        <f>SUM(J63:O63)</f>
        <v>0</v>
      </c>
      <c r="Q63" s="15">
        <v>0</v>
      </c>
      <c r="R63" s="15">
        <v>0</v>
      </c>
      <c r="S63" s="15">
        <v>0</v>
      </c>
      <c r="T63" s="15">
        <v>0</v>
      </c>
      <c r="U63" s="15">
        <v>0</v>
      </c>
      <c r="V63" s="18"/>
      <c r="W63" s="18"/>
      <c r="AB63" s="34"/>
    </row>
    <row r="64" spans="1:28" s="30" customFormat="1" ht="18.75" customHeight="1">
      <c r="A64" s="32">
        <v>39</v>
      </c>
      <c r="B64" s="133"/>
      <c r="C64" s="106" t="str">
        <f>IF(A64="","VARA",VLOOKUP(A64,'[1]varas'!$A$4:$B$67,2))</f>
        <v>2ª VT Olinda</v>
      </c>
      <c r="D64" s="29"/>
      <c r="E64" s="16"/>
      <c r="F64" s="15">
        <f>48+54+14</f>
        <v>116</v>
      </c>
      <c r="G64" s="15">
        <v>15</v>
      </c>
      <c r="H64" s="15">
        <v>0</v>
      </c>
      <c r="I64" s="17">
        <f>SUM(F64:H64)</f>
        <v>131</v>
      </c>
      <c r="J64" s="15">
        <v>27</v>
      </c>
      <c r="K64" s="15">
        <v>13</v>
      </c>
      <c r="L64" s="15">
        <v>12</v>
      </c>
      <c r="M64" s="15">
        <v>1</v>
      </c>
      <c r="N64" s="15">
        <v>1</v>
      </c>
      <c r="O64" s="15">
        <v>54</v>
      </c>
      <c r="P64" s="15">
        <f>SUM(J64:O64)</f>
        <v>108</v>
      </c>
      <c r="Q64" s="15">
        <v>14</v>
      </c>
      <c r="R64" s="15">
        <v>7</v>
      </c>
      <c r="S64" s="15">
        <v>0</v>
      </c>
      <c r="T64" s="15">
        <v>2</v>
      </c>
      <c r="U64" s="15">
        <v>165</v>
      </c>
      <c r="V64" s="18"/>
      <c r="W64" s="18"/>
      <c r="AB64" s="34"/>
    </row>
    <row r="65" spans="1:28" s="30" customFormat="1" ht="16.5" customHeight="1">
      <c r="A65" s="32">
        <v>40</v>
      </c>
      <c r="B65" s="133"/>
      <c r="C65" s="106" t="str">
        <f>IF(A65="","VARA",VLOOKUP(A65,'[1]varas'!$A$4:$B$67,2))</f>
        <v>3ª VT Olinda</v>
      </c>
      <c r="D65" s="15"/>
      <c r="E65" s="17"/>
      <c r="F65" s="15">
        <v>0</v>
      </c>
      <c r="G65" s="15">
        <v>0</v>
      </c>
      <c r="H65" s="15">
        <v>0</v>
      </c>
      <c r="I65" s="17">
        <f>SUM(F65:H65)</f>
        <v>0</v>
      </c>
      <c r="J65" s="15">
        <v>0</v>
      </c>
      <c r="K65" s="15">
        <v>0</v>
      </c>
      <c r="L65" s="15">
        <v>0</v>
      </c>
      <c r="M65" s="15">
        <v>0</v>
      </c>
      <c r="N65" s="15">
        <v>0</v>
      </c>
      <c r="O65" s="15">
        <v>0</v>
      </c>
      <c r="P65" s="15">
        <f>SUM(J65:O65)</f>
        <v>0</v>
      </c>
      <c r="Q65" s="15">
        <v>0</v>
      </c>
      <c r="R65" s="15">
        <v>0</v>
      </c>
      <c r="S65" s="15">
        <v>0</v>
      </c>
      <c r="T65" s="15">
        <v>0</v>
      </c>
      <c r="U65" s="15">
        <v>0</v>
      </c>
      <c r="V65" s="18"/>
      <c r="W65" s="18"/>
      <c r="AB65" s="34"/>
    </row>
    <row r="66" spans="1:28" s="49" customFormat="1" ht="16.5" customHeight="1">
      <c r="A66" s="47"/>
      <c r="B66" s="134"/>
      <c r="C66" s="106" t="s">
        <v>12</v>
      </c>
      <c r="D66" s="24"/>
      <c r="E66" s="48"/>
      <c r="F66" s="24">
        <f>SUM(F62:F65)</f>
        <v>116</v>
      </c>
      <c r="G66" s="24">
        <f>SUM(G62:G65)</f>
        <v>15</v>
      </c>
      <c r="H66" s="24">
        <f>SUM(H62:H65)</f>
        <v>0</v>
      </c>
      <c r="I66" s="40">
        <f>SUM(F66:H66)</f>
        <v>131</v>
      </c>
      <c r="J66" s="24">
        <f aca="true" t="shared" si="17" ref="J66:O66">SUM(J62:J65)</f>
        <v>27</v>
      </c>
      <c r="K66" s="24">
        <f t="shared" si="17"/>
        <v>13</v>
      </c>
      <c r="L66" s="24">
        <f t="shared" si="17"/>
        <v>12</v>
      </c>
      <c r="M66" s="24">
        <f t="shared" si="17"/>
        <v>1</v>
      </c>
      <c r="N66" s="24">
        <f t="shared" si="17"/>
        <v>1</v>
      </c>
      <c r="O66" s="24">
        <f t="shared" si="17"/>
        <v>54</v>
      </c>
      <c r="P66" s="24">
        <f>SUM(J66:O66)</f>
        <v>108</v>
      </c>
      <c r="Q66" s="24">
        <f>SUM(Q62:Q65)</f>
        <v>14</v>
      </c>
      <c r="R66" s="24">
        <f>SUM(R62:R65)</f>
        <v>7</v>
      </c>
      <c r="S66" s="24">
        <f>SUM(S62:S65)</f>
        <v>0</v>
      </c>
      <c r="T66" s="24">
        <f>SUM(T62:T65)</f>
        <v>2</v>
      </c>
      <c r="U66" s="24">
        <f>SUM(U62:U65)</f>
        <v>165</v>
      </c>
      <c r="V66" s="26">
        <f>IF(I66-Q66=0,"",IF(D66="",(P66+S66)/(I66-Q66),IF(AND(D66&lt;&gt;"",(P66+S66)/(I66-Q66)&gt;=50%),(P66+S66)/(I66-Q66),"")))</f>
        <v>0.9230769230769231</v>
      </c>
      <c r="W66" s="26">
        <f>IF(I66=O66,"",IF(V66="",0,(P66+Q66+S66-O66)/(I66-O66)))</f>
        <v>0.8831168831168831</v>
      </c>
      <c r="AB66" s="50"/>
    </row>
    <row r="67" spans="1:28" s="30" customFormat="1" ht="21.75" customHeight="1">
      <c r="A67" s="32"/>
      <c r="B67" s="136" t="s">
        <v>42</v>
      </c>
      <c r="C67" s="14" t="s">
        <v>2</v>
      </c>
      <c r="D67" s="29" t="s">
        <v>30</v>
      </c>
      <c r="E67" s="16" t="s">
        <v>213</v>
      </c>
      <c r="F67" s="15"/>
      <c r="G67" s="15"/>
      <c r="H67" s="15"/>
      <c r="I67" s="17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8"/>
      <c r="W67" s="18"/>
      <c r="AB67" s="34"/>
    </row>
    <row r="68" spans="1:28" s="30" customFormat="1" ht="20.25" customHeight="1">
      <c r="A68" s="32">
        <v>19</v>
      </c>
      <c r="B68" s="131"/>
      <c r="C68" s="20" t="str">
        <f>IF(A68="","VARA",VLOOKUP(A68,'[1]varas'!$A$4:$B$67,2))</f>
        <v>19ª VT Recife</v>
      </c>
      <c r="D68" s="29"/>
      <c r="E68" s="16"/>
      <c r="F68" s="15">
        <v>0</v>
      </c>
      <c r="G68" s="15">
        <v>0</v>
      </c>
      <c r="H68" s="15">
        <v>0</v>
      </c>
      <c r="I68" s="17">
        <f>SUM(F68:H68)</f>
        <v>0</v>
      </c>
      <c r="J68" s="15">
        <v>0</v>
      </c>
      <c r="K68" s="15">
        <v>0</v>
      </c>
      <c r="L68" s="15">
        <v>0</v>
      </c>
      <c r="M68" s="15">
        <v>0</v>
      </c>
      <c r="N68" s="15">
        <v>0</v>
      </c>
      <c r="O68" s="15">
        <v>0</v>
      </c>
      <c r="P68" s="15">
        <f>SUM(J68:O68)</f>
        <v>0</v>
      </c>
      <c r="Q68" s="15">
        <v>0</v>
      </c>
      <c r="R68" s="15">
        <v>0</v>
      </c>
      <c r="S68" s="15">
        <v>0</v>
      </c>
      <c r="T68" s="15">
        <v>0</v>
      </c>
      <c r="U68" s="15">
        <v>0</v>
      </c>
      <c r="V68" s="18"/>
      <c r="W68" s="18"/>
      <c r="AB68" s="34"/>
    </row>
    <row r="69" spans="1:28" s="49" customFormat="1" ht="18" customHeight="1">
      <c r="A69" s="47"/>
      <c r="B69" s="131"/>
      <c r="C69" s="21" t="s">
        <v>12</v>
      </c>
      <c r="D69" s="51"/>
      <c r="E69" s="52"/>
      <c r="F69" s="24">
        <f>SUM(F67:F68)</f>
        <v>0</v>
      </c>
      <c r="G69" s="24">
        <f>SUM(G67:G68)</f>
        <v>0</v>
      </c>
      <c r="H69" s="24">
        <f>SUM(H67:H68)</f>
        <v>0</v>
      </c>
      <c r="I69" s="25">
        <f>SUM(F69:H69)</f>
        <v>0</v>
      </c>
      <c r="J69" s="24">
        <f aca="true" t="shared" si="18" ref="J69:O69">SUM(J67:J68)</f>
        <v>0</v>
      </c>
      <c r="K69" s="24">
        <f t="shared" si="18"/>
        <v>0</v>
      </c>
      <c r="L69" s="24">
        <f t="shared" si="18"/>
        <v>0</v>
      </c>
      <c r="M69" s="24">
        <f t="shared" si="18"/>
        <v>0</v>
      </c>
      <c r="N69" s="24">
        <f t="shared" si="18"/>
        <v>0</v>
      </c>
      <c r="O69" s="24">
        <f t="shared" si="18"/>
        <v>0</v>
      </c>
      <c r="P69" s="24">
        <f>SUM(J69:O69)</f>
        <v>0</v>
      </c>
      <c r="Q69" s="24">
        <f>SUM(Q67:Q68)</f>
        <v>0</v>
      </c>
      <c r="R69" s="24">
        <f>SUM(R67:R68)</f>
        <v>0</v>
      </c>
      <c r="S69" s="24">
        <f>SUM(S67:S68)</f>
        <v>0</v>
      </c>
      <c r="T69" s="24">
        <f>SUM(T67:T68)</f>
        <v>0</v>
      </c>
      <c r="U69" s="24">
        <f>SUM(U67:U68)</f>
        <v>0</v>
      </c>
      <c r="V69" s="26">
        <f>IF(I69-Q69=0,"",IF(D69="",(P69+S69)/(I69-Q69),IF(AND(D69&lt;&gt;"",(P69+S69)/(I69-Q69)&gt;=50%),(P69+S69)/(I69-Q69),"")))</f>
      </c>
      <c r="W69" s="26">
        <f>IF(I69=O69,"",IF(V69="",0,(P69+Q69+S69-O69)/(I69-O69)))</f>
      </c>
      <c r="AB69" s="50"/>
    </row>
    <row r="70" spans="1:28" s="30" customFormat="1" ht="26.25" customHeight="1">
      <c r="A70" s="32"/>
      <c r="B70" s="131" t="s">
        <v>44</v>
      </c>
      <c r="C70" s="14" t="s">
        <v>156</v>
      </c>
      <c r="D70" s="29"/>
      <c r="E70" s="16" t="s">
        <v>27</v>
      </c>
      <c r="F70" s="15"/>
      <c r="G70" s="15"/>
      <c r="H70" s="15"/>
      <c r="I70" s="17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8"/>
      <c r="W70" s="18"/>
      <c r="AB70" s="34"/>
    </row>
    <row r="71" spans="1:28" s="30" customFormat="1" ht="21.75" customHeight="1">
      <c r="A71" s="32">
        <v>2</v>
      </c>
      <c r="B71" s="131"/>
      <c r="C71" s="20" t="str">
        <f>IF(A71="","VARA",VLOOKUP(A71,'[1]varas'!$A$4:$B$67,2))</f>
        <v>2ª VT Recife</v>
      </c>
      <c r="D71" s="15"/>
      <c r="E71" s="17"/>
      <c r="F71" s="15">
        <v>0</v>
      </c>
      <c r="G71" s="15">
        <v>0</v>
      </c>
      <c r="H71" s="15">
        <v>1</v>
      </c>
      <c r="I71" s="17">
        <f aca="true" t="shared" si="19" ref="I71:I77">SUM(F71:H71)</f>
        <v>1</v>
      </c>
      <c r="J71" s="15">
        <v>0</v>
      </c>
      <c r="K71" s="15">
        <v>0</v>
      </c>
      <c r="L71" s="15">
        <v>0</v>
      </c>
      <c r="M71" s="15">
        <v>0</v>
      </c>
      <c r="N71" s="15">
        <v>0</v>
      </c>
      <c r="O71" s="15">
        <v>0</v>
      </c>
      <c r="P71" s="15">
        <f aca="true" t="shared" si="20" ref="P71:P77">SUM(J71:O71)</f>
        <v>0</v>
      </c>
      <c r="Q71" s="15">
        <v>0</v>
      </c>
      <c r="R71" s="15">
        <v>1</v>
      </c>
      <c r="S71" s="15">
        <v>0</v>
      </c>
      <c r="T71" s="15">
        <v>0</v>
      </c>
      <c r="U71" s="15">
        <v>0</v>
      </c>
      <c r="V71" s="18"/>
      <c r="W71" s="18"/>
      <c r="AB71" s="34"/>
    </row>
    <row r="72" spans="1:28" s="30" customFormat="1" ht="21.75" customHeight="1">
      <c r="A72" s="32">
        <v>6</v>
      </c>
      <c r="B72" s="131"/>
      <c r="C72" s="20" t="str">
        <f>IF(A72="","VARA",VLOOKUP(A72,'[1]varas'!$A$4:$B$67,2))</f>
        <v>6ª VT Recife</v>
      </c>
      <c r="D72" s="15"/>
      <c r="E72" s="17"/>
      <c r="F72" s="15">
        <v>0</v>
      </c>
      <c r="G72" s="15">
        <v>0</v>
      </c>
      <c r="H72" s="15">
        <v>1</v>
      </c>
      <c r="I72" s="17">
        <f t="shared" si="19"/>
        <v>1</v>
      </c>
      <c r="J72" s="15">
        <v>0</v>
      </c>
      <c r="K72" s="15">
        <v>0</v>
      </c>
      <c r="L72" s="15">
        <v>0</v>
      </c>
      <c r="M72" s="15">
        <v>0</v>
      </c>
      <c r="N72" s="15">
        <v>0</v>
      </c>
      <c r="O72" s="15">
        <v>0</v>
      </c>
      <c r="P72" s="15">
        <f t="shared" si="20"/>
        <v>0</v>
      </c>
      <c r="Q72" s="15">
        <v>0</v>
      </c>
      <c r="R72" s="15">
        <v>1</v>
      </c>
      <c r="S72" s="15">
        <v>0</v>
      </c>
      <c r="T72" s="15">
        <v>0</v>
      </c>
      <c r="U72" s="15">
        <v>0</v>
      </c>
      <c r="V72" s="18"/>
      <c r="W72" s="18"/>
      <c r="AB72" s="34"/>
    </row>
    <row r="73" spans="1:28" s="30" customFormat="1" ht="21" customHeight="1">
      <c r="A73" s="32">
        <v>12</v>
      </c>
      <c r="B73" s="131"/>
      <c r="C73" s="20" t="str">
        <f>IF(A73="","VARA",VLOOKUP(A73,'[1]varas'!$A$4:$B$67,2))</f>
        <v>12ª VT Recife</v>
      </c>
      <c r="D73" s="15"/>
      <c r="E73" s="17"/>
      <c r="F73" s="15">
        <v>0</v>
      </c>
      <c r="G73" s="15">
        <v>0</v>
      </c>
      <c r="H73" s="15">
        <v>3</v>
      </c>
      <c r="I73" s="17">
        <f t="shared" si="19"/>
        <v>3</v>
      </c>
      <c r="J73" s="15">
        <v>0</v>
      </c>
      <c r="K73" s="15">
        <v>0</v>
      </c>
      <c r="L73" s="15">
        <v>0</v>
      </c>
      <c r="M73" s="15">
        <v>0</v>
      </c>
      <c r="N73" s="15">
        <v>0</v>
      </c>
      <c r="O73" s="15">
        <v>0</v>
      </c>
      <c r="P73" s="15">
        <f t="shared" si="20"/>
        <v>0</v>
      </c>
      <c r="Q73" s="15">
        <v>0</v>
      </c>
      <c r="R73" s="15">
        <v>3</v>
      </c>
      <c r="S73" s="15">
        <v>0</v>
      </c>
      <c r="T73" s="15">
        <v>0</v>
      </c>
      <c r="U73" s="15">
        <v>0</v>
      </c>
      <c r="V73" s="18"/>
      <c r="W73" s="18"/>
      <c r="AB73" s="34"/>
    </row>
    <row r="74" spans="1:28" s="30" customFormat="1" ht="21.75" customHeight="1">
      <c r="A74" s="32">
        <v>21</v>
      </c>
      <c r="B74" s="131"/>
      <c r="C74" s="20" t="str">
        <f>IF(A74="","VARA",VLOOKUP(A74,'[1]varas'!$A$4:$B$67,2))</f>
        <v>21ª VT Recife</v>
      </c>
      <c r="D74" s="15"/>
      <c r="E74" s="17"/>
      <c r="F74" s="15">
        <f>61+37+1+9</f>
        <v>108</v>
      </c>
      <c r="G74" s="15">
        <v>3</v>
      </c>
      <c r="H74" s="15">
        <v>32</v>
      </c>
      <c r="I74" s="17">
        <f t="shared" si="19"/>
        <v>143</v>
      </c>
      <c r="J74" s="15">
        <v>0</v>
      </c>
      <c r="K74" s="15">
        <v>15</v>
      </c>
      <c r="L74" s="15">
        <v>1</v>
      </c>
      <c r="M74" s="15">
        <v>9</v>
      </c>
      <c r="N74" s="15">
        <v>0</v>
      </c>
      <c r="O74" s="15">
        <v>37</v>
      </c>
      <c r="P74" s="15">
        <f t="shared" si="20"/>
        <v>62</v>
      </c>
      <c r="Q74" s="15">
        <v>23</v>
      </c>
      <c r="R74" s="15">
        <v>58</v>
      </c>
      <c r="S74" s="15">
        <v>0</v>
      </c>
      <c r="T74" s="15">
        <v>0</v>
      </c>
      <c r="U74" s="15">
        <v>170</v>
      </c>
      <c r="V74" s="18"/>
      <c r="W74" s="18"/>
      <c r="AB74" s="34"/>
    </row>
    <row r="75" spans="1:28" s="30" customFormat="1" ht="21.75" customHeight="1">
      <c r="A75" s="32">
        <v>47</v>
      </c>
      <c r="B75" s="131"/>
      <c r="C75" s="20" t="str">
        <f>IF(A75="","VARA",VLOOKUP(A75,'[1]varas'!$A$4:$B$67,2))</f>
        <v>VT Carpina</v>
      </c>
      <c r="D75" s="15"/>
      <c r="E75" s="17"/>
      <c r="F75" s="15">
        <v>0</v>
      </c>
      <c r="G75" s="15">
        <v>1</v>
      </c>
      <c r="H75" s="15">
        <v>0</v>
      </c>
      <c r="I75" s="17">
        <f t="shared" si="19"/>
        <v>1</v>
      </c>
      <c r="J75" s="15">
        <v>1</v>
      </c>
      <c r="K75" s="15">
        <v>0</v>
      </c>
      <c r="L75" s="15">
        <v>0</v>
      </c>
      <c r="M75" s="15">
        <v>0</v>
      </c>
      <c r="N75" s="15">
        <v>0</v>
      </c>
      <c r="O75" s="15">
        <v>0</v>
      </c>
      <c r="P75" s="15">
        <f t="shared" si="20"/>
        <v>1</v>
      </c>
      <c r="Q75" s="15">
        <v>0</v>
      </c>
      <c r="R75" s="15">
        <v>0</v>
      </c>
      <c r="S75" s="15">
        <v>0</v>
      </c>
      <c r="T75" s="15">
        <v>0</v>
      </c>
      <c r="U75" s="15">
        <v>0</v>
      </c>
      <c r="V75" s="18"/>
      <c r="W75" s="18"/>
      <c r="AB75" s="34"/>
    </row>
    <row r="76" spans="1:28" s="30" customFormat="1" ht="24" customHeight="1">
      <c r="A76" s="32">
        <v>66</v>
      </c>
      <c r="B76" s="131"/>
      <c r="C76" s="20" t="s">
        <v>161</v>
      </c>
      <c r="D76" s="15"/>
      <c r="E76" s="17"/>
      <c r="F76" s="15">
        <v>11</v>
      </c>
      <c r="G76" s="15">
        <v>0</v>
      </c>
      <c r="H76" s="15">
        <v>4</v>
      </c>
      <c r="I76" s="17">
        <f t="shared" si="19"/>
        <v>15</v>
      </c>
      <c r="J76" s="15">
        <v>1</v>
      </c>
      <c r="K76" s="15">
        <v>3</v>
      </c>
      <c r="L76" s="15">
        <v>0</v>
      </c>
      <c r="M76" s="15">
        <v>1</v>
      </c>
      <c r="N76" s="15">
        <v>0</v>
      </c>
      <c r="O76" s="15">
        <v>3</v>
      </c>
      <c r="P76" s="15">
        <f t="shared" si="20"/>
        <v>8</v>
      </c>
      <c r="Q76" s="15">
        <v>0</v>
      </c>
      <c r="R76" s="15">
        <v>7</v>
      </c>
      <c r="S76" s="15">
        <v>0</v>
      </c>
      <c r="T76" s="15">
        <v>0</v>
      </c>
      <c r="U76" s="15">
        <v>16</v>
      </c>
      <c r="V76" s="18"/>
      <c r="W76" s="18"/>
      <c r="AB76" s="34"/>
    </row>
    <row r="77" spans="1:28" s="49" customFormat="1" ht="18.75" customHeight="1">
      <c r="A77" s="47"/>
      <c r="B77" s="131"/>
      <c r="C77" s="20" t="s">
        <v>12</v>
      </c>
      <c r="D77" s="24"/>
      <c r="E77" s="48"/>
      <c r="F77" s="24">
        <f>SUM(F70:F76)</f>
        <v>119</v>
      </c>
      <c r="G77" s="24">
        <f>SUM(G70:G76)</f>
        <v>4</v>
      </c>
      <c r="H77" s="24">
        <f>SUM(H70:H76)</f>
        <v>41</v>
      </c>
      <c r="I77" s="40">
        <f t="shared" si="19"/>
        <v>164</v>
      </c>
      <c r="J77" s="24">
        <f aca="true" t="shared" si="21" ref="J77:O77">SUM(J70:J76)</f>
        <v>2</v>
      </c>
      <c r="K77" s="24">
        <f t="shared" si="21"/>
        <v>18</v>
      </c>
      <c r="L77" s="24">
        <f t="shared" si="21"/>
        <v>1</v>
      </c>
      <c r="M77" s="24">
        <f t="shared" si="21"/>
        <v>10</v>
      </c>
      <c r="N77" s="24">
        <f t="shared" si="21"/>
        <v>0</v>
      </c>
      <c r="O77" s="24">
        <f t="shared" si="21"/>
        <v>40</v>
      </c>
      <c r="P77" s="24">
        <f t="shared" si="20"/>
        <v>71</v>
      </c>
      <c r="Q77" s="24">
        <f>SUM(Q70:Q76)</f>
        <v>23</v>
      </c>
      <c r="R77" s="24">
        <f>SUM(R70:R76)</f>
        <v>70</v>
      </c>
      <c r="S77" s="24">
        <f>SUM(S70:S76)</f>
        <v>0</v>
      </c>
      <c r="T77" s="24">
        <f>SUM(T70:T76)</f>
        <v>0</v>
      </c>
      <c r="U77" s="24">
        <f>SUM(U70:U76)</f>
        <v>186</v>
      </c>
      <c r="V77" s="26">
        <f>IF(I77-Q77=0,"",IF(D77="",(P77+S77)/(I77-Q77),IF(AND(D77&lt;&gt;"",(P77+S77)/(I77-Q77)&gt;=50%),(P77+S77)/(I77-Q77),"")))</f>
        <v>0.5035460992907801</v>
      </c>
      <c r="W77" s="26">
        <f>IF(I77=O77,"",IF(V77="",0,(P77+Q77+S77-O77)/(I77-O77)))</f>
        <v>0.43548387096774194</v>
      </c>
      <c r="AB77" s="50"/>
    </row>
    <row r="78" spans="1:28" s="30" customFormat="1" ht="22.5" customHeight="1">
      <c r="A78" s="32"/>
      <c r="B78" s="131" t="s">
        <v>45</v>
      </c>
      <c r="C78" s="14" t="s">
        <v>154</v>
      </c>
      <c r="D78" s="29"/>
      <c r="E78" s="16" t="s">
        <v>27</v>
      </c>
      <c r="F78" s="15"/>
      <c r="G78" s="15"/>
      <c r="H78" s="15"/>
      <c r="I78" s="17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8"/>
      <c r="W78" s="18"/>
      <c r="AB78" s="34"/>
    </row>
    <row r="79" spans="1:28" s="30" customFormat="1" ht="18.75" customHeight="1">
      <c r="A79" s="32">
        <v>36</v>
      </c>
      <c r="B79" s="131"/>
      <c r="C79" s="20" t="str">
        <f>IF(A79="","VARA",VLOOKUP(A79,'[1]varas'!$A$4:$B$67,2))</f>
        <v>3ª VT Jaboatão</v>
      </c>
      <c r="D79" s="15"/>
      <c r="E79" s="16"/>
      <c r="F79" s="15">
        <f>20+23+8</f>
        <v>51</v>
      </c>
      <c r="G79" s="15">
        <v>2</v>
      </c>
      <c r="H79" s="15">
        <v>0</v>
      </c>
      <c r="I79" s="17">
        <f>SUM(F79:H79)</f>
        <v>53</v>
      </c>
      <c r="J79" s="15">
        <v>14</v>
      </c>
      <c r="K79" s="15">
        <v>5</v>
      </c>
      <c r="L79" s="15">
        <v>6</v>
      </c>
      <c r="M79" s="15">
        <v>2</v>
      </c>
      <c r="N79" s="15">
        <v>0</v>
      </c>
      <c r="O79" s="15">
        <v>23</v>
      </c>
      <c r="P79" s="15">
        <f>SUM(J79:O79)</f>
        <v>50</v>
      </c>
      <c r="Q79" s="15">
        <v>3</v>
      </c>
      <c r="R79" s="15">
        <v>0</v>
      </c>
      <c r="S79" s="15">
        <v>0</v>
      </c>
      <c r="T79" s="15">
        <v>0</v>
      </c>
      <c r="U79" s="15">
        <v>69</v>
      </c>
      <c r="V79" s="18"/>
      <c r="W79" s="18"/>
      <c r="AB79" s="34"/>
    </row>
    <row r="80" spans="1:41" s="53" customFormat="1" ht="18.75" customHeight="1">
      <c r="A80" s="47"/>
      <c r="B80" s="131"/>
      <c r="C80" s="21" t="s">
        <v>12</v>
      </c>
      <c r="D80" s="51"/>
      <c r="E80" s="52"/>
      <c r="F80" s="24">
        <f>SUM(F78:F79)</f>
        <v>51</v>
      </c>
      <c r="G80" s="24">
        <f>SUM(G78:G79)</f>
        <v>2</v>
      </c>
      <c r="H80" s="24">
        <f>SUM(H78:H79)</f>
        <v>0</v>
      </c>
      <c r="I80" s="25">
        <f>SUM(F80:H80)</f>
        <v>53</v>
      </c>
      <c r="J80" s="24">
        <f aca="true" t="shared" si="22" ref="J80:O80">SUM(J78:J79)</f>
        <v>14</v>
      </c>
      <c r="K80" s="24">
        <f t="shared" si="22"/>
        <v>5</v>
      </c>
      <c r="L80" s="24">
        <f t="shared" si="22"/>
        <v>6</v>
      </c>
      <c r="M80" s="24">
        <f t="shared" si="22"/>
        <v>2</v>
      </c>
      <c r="N80" s="24">
        <f t="shared" si="22"/>
        <v>0</v>
      </c>
      <c r="O80" s="24">
        <f t="shared" si="22"/>
        <v>23</v>
      </c>
      <c r="P80" s="24">
        <f>SUM(J80:O80)</f>
        <v>50</v>
      </c>
      <c r="Q80" s="24">
        <f>SUM(Q78:Q79)</f>
        <v>3</v>
      </c>
      <c r="R80" s="24">
        <f>SUM(R78:R79)</f>
        <v>0</v>
      </c>
      <c r="S80" s="24">
        <f>SUM(S78:S79)</f>
        <v>0</v>
      </c>
      <c r="T80" s="24">
        <f>SUM(T78:T79)</f>
        <v>0</v>
      </c>
      <c r="U80" s="24">
        <f>SUM(U78:U79)</f>
        <v>69</v>
      </c>
      <c r="V80" s="26">
        <f>IF(I80-Q80=0,"",IF(D80="",(P80+S80)/(I80-Q80),IF(AND(D80&lt;&gt;"",(P80+S80)/(I80-Q80)&gt;=50%),(P80+S80)/(I80-Q80),"")))</f>
        <v>1</v>
      </c>
      <c r="W80" s="26">
        <f>IF(I80=O80,"",IF(V80="",0,(P80+Q80+S80-O80)/(I80-O80)))</f>
        <v>1</v>
      </c>
      <c r="X80" s="49"/>
      <c r="Y80" s="49"/>
      <c r="Z80" s="49"/>
      <c r="AA80" s="49"/>
      <c r="AB80" s="50"/>
      <c r="AC80" s="49"/>
      <c r="AD80" s="49"/>
      <c r="AE80" s="49"/>
      <c r="AF80" s="49"/>
      <c r="AG80" s="49"/>
      <c r="AH80" s="49"/>
      <c r="AI80" s="49"/>
      <c r="AJ80" s="49"/>
      <c r="AK80" s="49"/>
      <c r="AL80" s="49"/>
      <c r="AM80" s="49"/>
      <c r="AN80" s="49"/>
      <c r="AO80" s="49"/>
    </row>
    <row r="81" spans="1:41" s="39" customFormat="1" ht="24.75" customHeight="1">
      <c r="A81" s="32"/>
      <c r="B81" s="137" t="s">
        <v>46</v>
      </c>
      <c r="C81" s="14" t="s">
        <v>2</v>
      </c>
      <c r="D81" s="29" t="s">
        <v>30</v>
      </c>
      <c r="E81" s="16" t="s">
        <v>208</v>
      </c>
      <c r="F81" s="15"/>
      <c r="G81" s="15"/>
      <c r="H81" s="15"/>
      <c r="I81" s="17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8"/>
      <c r="W81" s="18"/>
      <c r="X81" s="30"/>
      <c r="Y81" s="30"/>
      <c r="Z81" s="30"/>
      <c r="AA81" s="30"/>
      <c r="AB81" s="34"/>
      <c r="AC81" s="30"/>
      <c r="AD81" s="30"/>
      <c r="AE81" s="30"/>
      <c r="AF81" s="30"/>
      <c r="AG81" s="30"/>
      <c r="AH81" s="30"/>
      <c r="AI81" s="30"/>
      <c r="AJ81" s="30"/>
      <c r="AK81" s="30"/>
      <c r="AL81" s="30"/>
      <c r="AM81" s="30"/>
      <c r="AN81" s="30"/>
      <c r="AO81" s="30"/>
    </row>
    <row r="82" spans="1:41" s="39" customFormat="1" ht="20.25" customHeight="1">
      <c r="A82" s="32">
        <v>26</v>
      </c>
      <c r="B82" s="137"/>
      <c r="C82" s="20" t="str">
        <f>IF(A82="","VARA",VLOOKUP(A82,'[1]varas'!$A$4:$B$67,2))</f>
        <v>1ª VT Cabo</v>
      </c>
      <c r="D82" s="15"/>
      <c r="E82" s="16"/>
      <c r="F82" s="15">
        <f>38+11+8</f>
        <v>57</v>
      </c>
      <c r="G82" s="15">
        <v>2</v>
      </c>
      <c r="H82" s="15">
        <v>0</v>
      </c>
      <c r="I82" s="17">
        <f>SUM(F82:H82)</f>
        <v>59</v>
      </c>
      <c r="J82" s="15">
        <v>27</v>
      </c>
      <c r="K82" s="15">
        <v>11</v>
      </c>
      <c r="L82" s="15">
        <v>9</v>
      </c>
      <c r="M82" s="15">
        <v>0</v>
      </c>
      <c r="N82" s="15">
        <v>0</v>
      </c>
      <c r="O82" s="15">
        <v>11</v>
      </c>
      <c r="P82" s="15">
        <f>SUM(J82:O82)</f>
        <v>58</v>
      </c>
      <c r="Q82" s="15">
        <v>0</v>
      </c>
      <c r="R82" s="15">
        <v>0</v>
      </c>
      <c r="S82" s="15">
        <v>0</v>
      </c>
      <c r="T82" s="15">
        <v>1</v>
      </c>
      <c r="U82" s="15">
        <v>100</v>
      </c>
      <c r="V82" s="18"/>
      <c r="W82" s="18"/>
      <c r="X82" s="30"/>
      <c r="Y82" s="30"/>
      <c r="Z82" s="30"/>
      <c r="AA82" s="30"/>
      <c r="AB82" s="34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/>
      <c r="AN82" s="30"/>
      <c r="AO82" s="30"/>
    </row>
    <row r="83" spans="1:41" s="53" customFormat="1" ht="18.75" customHeight="1">
      <c r="A83" s="47"/>
      <c r="B83" s="131"/>
      <c r="C83" s="21" t="s">
        <v>12</v>
      </c>
      <c r="D83" s="51"/>
      <c r="E83" s="52"/>
      <c r="F83" s="24">
        <f>SUM(F81:F82)</f>
        <v>57</v>
      </c>
      <c r="G83" s="24">
        <f>SUM(G81:G82)</f>
        <v>2</v>
      </c>
      <c r="H83" s="24">
        <f>SUM(H81:H82)</f>
        <v>0</v>
      </c>
      <c r="I83" s="25">
        <f>SUM(F83:H83)</f>
        <v>59</v>
      </c>
      <c r="J83" s="24">
        <f aca="true" t="shared" si="23" ref="J83:O83">SUM(J81:J82)</f>
        <v>27</v>
      </c>
      <c r="K83" s="24">
        <f t="shared" si="23"/>
        <v>11</v>
      </c>
      <c r="L83" s="24">
        <f t="shared" si="23"/>
        <v>9</v>
      </c>
      <c r="M83" s="24">
        <f t="shared" si="23"/>
        <v>0</v>
      </c>
      <c r="N83" s="24">
        <f t="shared" si="23"/>
        <v>0</v>
      </c>
      <c r="O83" s="24">
        <f t="shared" si="23"/>
        <v>11</v>
      </c>
      <c r="P83" s="24">
        <f>SUM(J83:O83)</f>
        <v>58</v>
      </c>
      <c r="Q83" s="24">
        <f>SUM(Q81:Q82)</f>
        <v>0</v>
      </c>
      <c r="R83" s="24">
        <f>SUM(R81:R82)</f>
        <v>0</v>
      </c>
      <c r="S83" s="24">
        <f>SUM(S81:S82)</f>
        <v>0</v>
      </c>
      <c r="T83" s="24">
        <f>SUM(T81:T82)</f>
        <v>1</v>
      </c>
      <c r="U83" s="24">
        <f>SUM(U81:U82)</f>
        <v>100</v>
      </c>
      <c r="V83" s="26">
        <f>IF(I83-Q83=0,"",IF(D83="",(P83+S83)/(I83-Q83),IF(AND(D83&lt;&gt;"",(P83+S83)/(I83-Q83)&gt;=50%),(P83+S83)/(I83-Q83),"")))</f>
        <v>0.9830508474576272</v>
      </c>
      <c r="W83" s="26">
        <f>IF(I83=O83,"",IF(V83="",0,(P83+Q83+S83-O83)/(I83-O83)))</f>
        <v>0.9791666666666666</v>
      </c>
      <c r="X83" s="49"/>
      <c r="Y83" s="49"/>
      <c r="Z83" s="49"/>
      <c r="AA83" s="49"/>
      <c r="AB83" s="50"/>
      <c r="AC83" s="49"/>
      <c r="AD83" s="49"/>
      <c r="AE83" s="49"/>
      <c r="AF83" s="49"/>
      <c r="AG83" s="49"/>
      <c r="AH83" s="49"/>
      <c r="AI83" s="49"/>
      <c r="AJ83" s="49"/>
      <c r="AK83" s="49"/>
      <c r="AL83" s="49"/>
      <c r="AM83" s="49"/>
      <c r="AN83" s="49"/>
      <c r="AO83" s="49"/>
    </row>
    <row r="84" spans="1:41" s="39" customFormat="1" ht="19.5" customHeight="1">
      <c r="A84" s="32"/>
      <c r="B84" s="138" t="s">
        <v>47</v>
      </c>
      <c r="C84" s="105" t="s">
        <v>2</v>
      </c>
      <c r="D84" s="29"/>
      <c r="E84" s="16" t="s">
        <v>27</v>
      </c>
      <c r="F84" s="15"/>
      <c r="G84" s="15"/>
      <c r="H84" s="15"/>
      <c r="I84" s="17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8"/>
      <c r="W84" s="18"/>
      <c r="X84" s="30"/>
      <c r="Y84" s="30"/>
      <c r="Z84" s="30"/>
      <c r="AA84" s="30"/>
      <c r="AB84" s="34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30"/>
    </row>
    <row r="85" spans="1:41" s="39" customFormat="1" ht="18" customHeight="1">
      <c r="A85" s="32">
        <v>25</v>
      </c>
      <c r="B85" s="139"/>
      <c r="C85" s="106" t="str">
        <f>IF(A85="","VARA",VLOOKUP(A85,'[1]varas'!$A$4:$B$67,2))</f>
        <v>2ª VT Barreiros</v>
      </c>
      <c r="D85" s="29"/>
      <c r="E85" s="16"/>
      <c r="F85" s="15">
        <f>60+43+58+2</f>
        <v>163</v>
      </c>
      <c r="G85" s="15">
        <v>15</v>
      </c>
      <c r="H85" s="15">
        <v>0</v>
      </c>
      <c r="I85" s="17">
        <f>SUM(F85:H85)</f>
        <v>178</v>
      </c>
      <c r="J85" s="15">
        <v>36</v>
      </c>
      <c r="K85" s="15">
        <v>1</v>
      </c>
      <c r="L85" s="15">
        <v>58</v>
      </c>
      <c r="M85" s="15">
        <v>2</v>
      </c>
      <c r="N85" s="15">
        <v>0</v>
      </c>
      <c r="O85" s="15">
        <v>43</v>
      </c>
      <c r="P85" s="15">
        <f>SUM(J85:O85)</f>
        <v>140</v>
      </c>
      <c r="Q85" s="15">
        <v>38</v>
      </c>
      <c r="R85" s="15">
        <v>0</v>
      </c>
      <c r="S85" s="15">
        <v>0</v>
      </c>
      <c r="T85" s="15">
        <v>0</v>
      </c>
      <c r="U85" s="15">
        <v>164</v>
      </c>
      <c r="V85" s="18"/>
      <c r="W85" s="18"/>
      <c r="X85" s="30"/>
      <c r="Y85" s="30"/>
      <c r="Z85" s="30"/>
      <c r="AA85" s="30"/>
      <c r="AB85" s="34"/>
      <c r="AC85" s="30"/>
      <c r="AD85" s="30"/>
      <c r="AE85" s="30"/>
      <c r="AF85" s="30"/>
      <c r="AG85" s="30"/>
      <c r="AH85" s="30"/>
      <c r="AI85" s="30"/>
      <c r="AJ85" s="30"/>
      <c r="AK85" s="30"/>
      <c r="AL85" s="30"/>
      <c r="AM85" s="30"/>
      <c r="AN85" s="30"/>
      <c r="AO85" s="30"/>
    </row>
    <row r="86" spans="1:41" s="53" customFormat="1" ht="15.75" customHeight="1">
      <c r="A86" s="47"/>
      <c r="B86" s="134"/>
      <c r="C86" s="107" t="s">
        <v>12</v>
      </c>
      <c r="D86" s="51"/>
      <c r="E86" s="52"/>
      <c r="F86" s="24">
        <f>SUM(F84:F85)</f>
        <v>163</v>
      </c>
      <c r="G86" s="24">
        <f>SUM(G84:G85)</f>
        <v>15</v>
      </c>
      <c r="H86" s="24">
        <f>SUM(H84:H85)</f>
        <v>0</v>
      </c>
      <c r="I86" s="25">
        <f>SUM(F86:H86)</f>
        <v>178</v>
      </c>
      <c r="J86" s="24">
        <f aca="true" t="shared" si="24" ref="J86:O86">SUM(J84:J85)</f>
        <v>36</v>
      </c>
      <c r="K86" s="24">
        <f t="shared" si="24"/>
        <v>1</v>
      </c>
      <c r="L86" s="24">
        <f t="shared" si="24"/>
        <v>58</v>
      </c>
      <c r="M86" s="24">
        <f t="shared" si="24"/>
        <v>2</v>
      </c>
      <c r="N86" s="24">
        <f t="shared" si="24"/>
        <v>0</v>
      </c>
      <c r="O86" s="24">
        <f t="shared" si="24"/>
        <v>43</v>
      </c>
      <c r="P86" s="24">
        <f>SUM(J86:O86)</f>
        <v>140</v>
      </c>
      <c r="Q86" s="24">
        <f>SUM(Q84:Q85)</f>
        <v>38</v>
      </c>
      <c r="R86" s="24">
        <f>SUM(R84:R85)</f>
        <v>0</v>
      </c>
      <c r="S86" s="24">
        <f>SUM(S84:S85)</f>
        <v>0</v>
      </c>
      <c r="T86" s="24">
        <f>SUM(T84:T85)</f>
        <v>0</v>
      </c>
      <c r="U86" s="24">
        <f>SUM(U84:U85)</f>
        <v>164</v>
      </c>
      <c r="V86" s="26">
        <f>IF(I86-Q86=0,"",IF(D86="",(P86+S86)/(I86-Q86),IF(AND(D86&lt;&gt;"",(P86+S86)/(I86-Q86)&gt;=50%),(P86+S86)/(I86-Q86),"")))</f>
        <v>1</v>
      </c>
      <c r="W86" s="26">
        <f>IF(I86=O86,"",IF(V86="",0,(P86+Q86+S86-O86)/(I86-O86)))</f>
        <v>1</v>
      </c>
      <c r="X86" s="49"/>
      <c r="Y86" s="49"/>
      <c r="Z86" s="49"/>
      <c r="AA86" s="49"/>
      <c r="AB86" s="50"/>
      <c r="AC86" s="49"/>
      <c r="AD86" s="49"/>
      <c r="AE86" s="49"/>
      <c r="AF86" s="49"/>
      <c r="AG86" s="49"/>
      <c r="AH86" s="49"/>
      <c r="AI86" s="49"/>
      <c r="AJ86" s="49"/>
      <c r="AK86" s="49"/>
      <c r="AL86" s="49"/>
      <c r="AM86" s="49"/>
      <c r="AN86" s="49"/>
      <c r="AO86" s="49"/>
    </row>
    <row r="87" spans="1:41" s="39" customFormat="1" ht="21.75" customHeight="1">
      <c r="A87" s="32"/>
      <c r="B87" s="138" t="s">
        <v>48</v>
      </c>
      <c r="C87" s="105" t="s">
        <v>156</v>
      </c>
      <c r="D87" s="29"/>
      <c r="E87" s="16" t="s">
        <v>27</v>
      </c>
      <c r="F87" s="15"/>
      <c r="G87" s="15"/>
      <c r="H87" s="15"/>
      <c r="I87" s="17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8"/>
      <c r="W87" s="18"/>
      <c r="X87" s="30"/>
      <c r="Y87" s="30"/>
      <c r="Z87" s="30"/>
      <c r="AA87" s="30"/>
      <c r="AB87" s="34"/>
      <c r="AC87" s="30"/>
      <c r="AD87" s="30"/>
      <c r="AE87" s="30"/>
      <c r="AF87" s="30"/>
      <c r="AG87" s="30"/>
      <c r="AH87" s="30"/>
      <c r="AI87" s="30"/>
      <c r="AJ87" s="30"/>
      <c r="AK87" s="30"/>
      <c r="AL87" s="30"/>
      <c r="AM87" s="30"/>
      <c r="AN87" s="30"/>
      <c r="AO87" s="30"/>
    </row>
    <row r="88" spans="1:41" s="39" customFormat="1" ht="19.5" customHeight="1">
      <c r="A88" s="32">
        <v>14</v>
      </c>
      <c r="B88" s="139"/>
      <c r="C88" s="106" t="str">
        <f>IF(A88="","VARA",VLOOKUP(A88,'[1]varas'!$A$4:$B$67,2))</f>
        <v>14ª VT Recife</v>
      </c>
      <c r="D88" s="29"/>
      <c r="E88" s="16"/>
      <c r="F88" s="15">
        <f>61+43+24+7</f>
        <v>135</v>
      </c>
      <c r="G88" s="15">
        <v>0</v>
      </c>
      <c r="H88" s="15">
        <v>50</v>
      </c>
      <c r="I88" s="17">
        <f>SUM(F88:H88)</f>
        <v>185</v>
      </c>
      <c r="J88" s="15">
        <v>21</v>
      </c>
      <c r="K88" s="15">
        <v>13</v>
      </c>
      <c r="L88" s="15">
        <v>24</v>
      </c>
      <c r="M88" s="15">
        <v>7</v>
      </c>
      <c r="N88" s="15">
        <v>0</v>
      </c>
      <c r="O88" s="15">
        <v>43</v>
      </c>
      <c r="P88" s="15">
        <f>SUM(J88:O88)</f>
        <v>108</v>
      </c>
      <c r="Q88" s="15">
        <v>21</v>
      </c>
      <c r="R88" s="15">
        <v>56</v>
      </c>
      <c r="S88" s="15">
        <v>0</v>
      </c>
      <c r="T88" s="15">
        <v>0</v>
      </c>
      <c r="U88" s="15">
        <v>182</v>
      </c>
      <c r="V88" s="18"/>
      <c r="W88" s="18"/>
      <c r="X88" s="30"/>
      <c r="Y88" s="30"/>
      <c r="Z88" s="30"/>
      <c r="AA88" s="30"/>
      <c r="AB88" s="34"/>
      <c r="AC88" s="30"/>
      <c r="AD88" s="30"/>
      <c r="AE88" s="30"/>
      <c r="AF88" s="30"/>
      <c r="AG88" s="30"/>
      <c r="AH88" s="30"/>
      <c r="AI88" s="30"/>
      <c r="AJ88" s="30"/>
      <c r="AK88" s="30"/>
      <c r="AL88" s="30"/>
      <c r="AM88" s="30"/>
      <c r="AN88" s="30"/>
      <c r="AO88" s="30"/>
    </row>
    <row r="89" spans="1:41" s="39" customFormat="1" ht="18" customHeight="1">
      <c r="A89" s="32">
        <v>15</v>
      </c>
      <c r="B89" s="139"/>
      <c r="C89" s="106" t="str">
        <f>IF(A89="","VARA",VLOOKUP(A89,'[1]varas'!$A$4:$B$67,2))</f>
        <v>15ª VT Recife</v>
      </c>
      <c r="D89" s="15"/>
      <c r="E89" s="16"/>
      <c r="F89" s="15">
        <v>0</v>
      </c>
      <c r="G89" s="15">
        <v>0</v>
      </c>
      <c r="H89" s="15">
        <v>1</v>
      </c>
      <c r="I89" s="17">
        <f>SUM(F89:H89)</f>
        <v>1</v>
      </c>
      <c r="J89" s="15">
        <v>0</v>
      </c>
      <c r="K89" s="15">
        <v>0</v>
      </c>
      <c r="L89" s="15">
        <v>0</v>
      </c>
      <c r="M89" s="15">
        <v>0</v>
      </c>
      <c r="N89" s="15">
        <v>0</v>
      </c>
      <c r="O89" s="15">
        <v>0</v>
      </c>
      <c r="P89" s="15">
        <f>SUM(J89:O89)</f>
        <v>0</v>
      </c>
      <c r="Q89" s="15">
        <v>0</v>
      </c>
      <c r="R89" s="15">
        <v>1</v>
      </c>
      <c r="S89" s="15">
        <v>0</v>
      </c>
      <c r="T89" s="15">
        <v>0</v>
      </c>
      <c r="U89" s="15">
        <v>0</v>
      </c>
      <c r="V89" s="18"/>
      <c r="W89" s="18"/>
      <c r="X89" s="30"/>
      <c r="Y89" s="30"/>
      <c r="Z89" s="30"/>
      <c r="AA89" s="30"/>
      <c r="AB89" s="34"/>
      <c r="AC89" s="30"/>
      <c r="AD89" s="30"/>
      <c r="AE89" s="30"/>
      <c r="AF89" s="30"/>
      <c r="AG89" s="30"/>
      <c r="AH89" s="30"/>
      <c r="AI89" s="30"/>
      <c r="AJ89" s="30"/>
      <c r="AK89" s="30"/>
      <c r="AL89" s="30"/>
      <c r="AM89" s="30"/>
      <c r="AN89" s="30"/>
      <c r="AO89" s="30"/>
    </row>
    <row r="90" spans="1:41" s="53" customFormat="1" ht="16.5" customHeight="1">
      <c r="A90" s="47"/>
      <c r="B90" s="134"/>
      <c r="C90" s="106" t="s">
        <v>12</v>
      </c>
      <c r="D90" s="24"/>
      <c r="E90" s="48"/>
      <c r="F90" s="24">
        <f>SUM(F87:F89)</f>
        <v>135</v>
      </c>
      <c r="G90" s="24">
        <f>SUM(G87:G89)</f>
        <v>0</v>
      </c>
      <c r="H90" s="24">
        <f>SUM(H87:H89)</f>
        <v>51</v>
      </c>
      <c r="I90" s="40">
        <f>SUM(F90:H90)</f>
        <v>186</v>
      </c>
      <c r="J90" s="24">
        <f aca="true" t="shared" si="25" ref="J90:O90">SUM(J87:J89)</f>
        <v>21</v>
      </c>
      <c r="K90" s="24">
        <f t="shared" si="25"/>
        <v>13</v>
      </c>
      <c r="L90" s="24">
        <f t="shared" si="25"/>
        <v>24</v>
      </c>
      <c r="M90" s="24">
        <f t="shared" si="25"/>
        <v>7</v>
      </c>
      <c r="N90" s="24">
        <f t="shared" si="25"/>
        <v>0</v>
      </c>
      <c r="O90" s="24">
        <f t="shared" si="25"/>
        <v>43</v>
      </c>
      <c r="P90" s="24">
        <f>SUM(J90:O90)</f>
        <v>108</v>
      </c>
      <c r="Q90" s="24">
        <f>SUM(Q87:Q89)</f>
        <v>21</v>
      </c>
      <c r="R90" s="24">
        <f>SUM(R87:R89)</f>
        <v>57</v>
      </c>
      <c r="S90" s="24">
        <f>SUM(S87:S89)</f>
        <v>0</v>
      </c>
      <c r="T90" s="24">
        <f>SUM(T87:T89)</f>
        <v>0</v>
      </c>
      <c r="U90" s="24">
        <f>SUM(U87:U89)</f>
        <v>182</v>
      </c>
      <c r="V90" s="26">
        <f>IF(I90-Q90=0,"",IF(D90="",(P90+S90)/(I90-Q90),IF(AND(D90&lt;&gt;"",(P90+S90)/(I90-Q90)&gt;=50%),(P90+S90)/(I90-Q90),"")))</f>
        <v>0.6545454545454545</v>
      </c>
      <c r="W90" s="26">
        <f>IF(I90=O90,"",IF(V90="",0,(P90+Q90+S90-O90)/(I90-O90)))</f>
        <v>0.6013986013986014</v>
      </c>
      <c r="X90" s="49"/>
      <c r="Y90" s="49"/>
      <c r="Z90" s="49"/>
      <c r="AA90" s="49"/>
      <c r="AB90" s="50"/>
      <c r="AC90" s="49"/>
      <c r="AD90" s="49"/>
      <c r="AE90" s="49"/>
      <c r="AF90" s="49"/>
      <c r="AG90" s="49"/>
      <c r="AH90" s="49"/>
      <c r="AI90" s="49"/>
      <c r="AJ90" s="49"/>
      <c r="AK90" s="49"/>
      <c r="AL90" s="49"/>
      <c r="AM90" s="49"/>
      <c r="AN90" s="49"/>
      <c r="AO90" s="49"/>
    </row>
    <row r="91" spans="1:41" s="39" customFormat="1" ht="21.75" customHeight="1">
      <c r="A91" s="32"/>
      <c r="B91" s="138" t="s">
        <v>49</v>
      </c>
      <c r="C91" s="105" t="s">
        <v>2</v>
      </c>
      <c r="D91" s="29"/>
      <c r="E91" s="16" t="s">
        <v>27</v>
      </c>
      <c r="F91" s="15"/>
      <c r="G91" s="15"/>
      <c r="H91" s="15"/>
      <c r="I91" s="17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8"/>
      <c r="W91" s="18"/>
      <c r="X91" s="30"/>
      <c r="Y91" s="30"/>
      <c r="Z91" s="30"/>
      <c r="AA91" s="30"/>
      <c r="AB91" s="34"/>
      <c r="AC91" s="30"/>
      <c r="AD91" s="30"/>
      <c r="AE91" s="30"/>
      <c r="AF91" s="30"/>
      <c r="AG91" s="30"/>
      <c r="AH91" s="30"/>
      <c r="AI91" s="30"/>
      <c r="AJ91" s="30"/>
      <c r="AK91" s="30"/>
      <c r="AL91" s="30"/>
      <c r="AM91" s="30"/>
      <c r="AN91" s="30"/>
      <c r="AO91" s="30"/>
    </row>
    <row r="92" spans="1:41" s="39" customFormat="1" ht="19.5" customHeight="1">
      <c r="A92" s="32">
        <v>45</v>
      </c>
      <c r="B92" s="139"/>
      <c r="C92" s="106" t="str">
        <f>IF(A92="","VARA",VLOOKUP(A92,'[1]varas'!$A$4:$B$67,2))</f>
        <v>VT Araripina</v>
      </c>
      <c r="D92" s="15"/>
      <c r="E92" s="16"/>
      <c r="F92" s="15">
        <f>40+88+6</f>
        <v>134</v>
      </c>
      <c r="G92" s="15">
        <v>0</v>
      </c>
      <c r="H92" s="15">
        <v>11</v>
      </c>
      <c r="I92" s="17">
        <f>SUM(F92:H92)</f>
        <v>145</v>
      </c>
      <c r="J92" s="15">
        <v>18</v>
      </c>
      <c r="K92" s="15">
        <v>10</v>
      </c>
      <c r="L92" s="15">
        <v>2</v>
      </c>
      <c r="M92" s="15">
        <v>4</v>
      </c>
      <c r="N92" s="15">
        <v>0</v>
      </c>
      <c r="O92" s="15">
        <v>88</v>
      </c>
      <c r="P92" s="15">
        <f>SUM(J92:O92)</f>
        <v>122</v>
      </c>
      <c r="Q92" s="15">
        <v>0</v>
      </c>
      <c r="R92" s="15">
        <v>23</v>
      </c>
      <c r="S92" s="15">
        <v>0</v>
      </c>
      <c r="T92" s="15">
        <v>0</v>
      </c>
      <c r="U92" s="15">
        <v>183</v>
      </c>
      <c r="V92" s="18"/>
      <c r="W92" s="18"/>
      <c r="X92" s="30"/>
      <c r="Y92" s="30"/>
      <c r="Z92" s="30"/>
      <c r="AA92" s="30"/>
      <c r="AB92" s="34"/>
      <c r="AC92" s="30"/>
      <c r="AD92" s="30"/>
      <c r="AE92" s="30"/>
      <c r="AF92" s="30"/>
      <c r="AG92" s="30"/>
      <c r="AH92" s="30"/>
      <c r="AI92" s="30"/>
      <c r="AJ92" s="30"/>
      <c r="AK92" s="30"/>
      <c r="AL92" s="30"/>
      <c r="AM92" s="30"/>
      <c r="AN92" s="30"/>
      <c r="AO92" s="30"/>
    </row>
    <row r="93" spans="1:41" s="53" customFormat="1" ht="17.25" customHeight="1">
      <c r="A93" s="47"/>
      <c r="B93" s="134"/>
      <c r="C93" s="107" t="s">
        <v>12</v>
      </c>
      <c r="D93" s="51"/>
      <c r="E93" s="52"/>
      <c r="F93" s="24">
        <f>SUM(F91:F92)</f>
        <v>134</v>
      </c>
      <c r="G93" s="24">
        <f>SUM(G91:G92)</f>
        <v>0</v>
      </c>
      <c r="H93" s="24">
        <f>SUM(H91:H92)</f>
        <v>11</v>
      </c>
      <c r="I93" s="25">
        <f>SUM(F93:H93)</f>
        <v>145</v>
      </c>
      <c r="J93" s="24">
        <f aca="true" t="shared" si="26" ref="J93:O93">SUM(J91:J92)</f>
        <v>18</v>
      </c>
      <c r="K93" s="24">
        <f t="shared" si="26"/>
        <v>10</v>
      </c>
      <c r="L93" s="24">
        <f t="shared" si="26"/>
        <v>2</v>
      </c>
      <c r="M93" s="24">
        <f t="shared" si="26"/>
        <v>4</v>
      </c>
      <c r="N93" s="24">
        <f t="shared" si="26"/>
        <v>0</v>
      </c>
      <c r="O93" s="24">
        <f t="shared" si="26"/>
        <v>88</v>
      </c>
      <c r="P93" s="24">
        <f>SUM(J93:O93)</f>
        <v>122</v>
      </c>
      <c r="Q93" s="24">
        <f>SUM(Q91:Q92)</f>
        <v>0</v>
      </c>
      <c r="R93" s="24">
        <f>SUM(R91:R92)</f>
        <v>23</v>
      </c>
      <c r="S93" s="24">
        <f>SUM(S91:S92)</f>
        <v>0</v>
      </c>
      <c r="T93" s="24">
        <f>SUM(T91:T92)</f>
        <v>0</v>
      </c>
      <c r="U93" s="24">
        <f>SUM(U91:U92)</f>
        <v>183</v>
      </c>
      <c r="V93" s="26">
        <f>IF(I93-Q93=0,"",IF(D93="",(P93+S93)/(I93-Q93),IF(AND(D93&lt;&gt;"",(P93+S93)/(I93-Q93)&gt;=50%),(P93+S93)/(I93-Q93),"")))</f>
        <v>0.8413793103448276</v>
      </c>
      <c r="W93" s="26">
        <f>IF(I93=O93,"",IF(V93="",0,(P93+Q93+S93-O93)/(I93-O93)))</f>
        <v>0.5964912280701754</v>
      </c>
      <c r="X93" s="49"/>
      <c r="Y93" s="49"/>
      <c r="Z93" s="49"/>
      <c r="AA93" s="49"/>
      <c r="AB93" s="50"/>
      <c r="AC93" s="49"/>
      <c r="AD93" s="49"/>
      <c r="AE93" s="49"/>
      <c r="AF93" s="49"/>
      <c r="AG93" s="49"/>
      <c r="AH93" s="49"/>
      <c r="AI93" s="49"/>
      <c r="AJ93" s="49"/>
      <c r="AK93" s="49"/>
      <c r="AL93" s="49"/>
      <c r="AM93" s="49"/>
      <c r="AN93" s="49"/>
      <c r="AO93" s="49"/>
    </row>
    <row r="94" spans="1:41" s="39" customFormat="1" ht="18.75" customHeight="1">
      <c r="A94" s="32"/>
      <c r="B94" s="130" t="s">
        <v>50</v>
      </c>
      <c r="C94" s="14" t="s">
        <v>2</v>
      </c>
      <c r="D94" s="29" t="s">
        <v>43</v>
      </c>
      <c r="E94" s="16" t="s">
        <v>192</v>
      </c>
      <c r="F94" s="15"/>
      <c r="G94" s="15"/>
      <c r="H94" s="15"/>
      <c r="I94" s="17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8"/>
      <c r="W94" s="18"/>
      <c r="X94" s="30"/>
      <c r="Y94" s="30"/>
      <c r="Z94" s="30"/>
      <c r="AA94" s="30"/>
      <c r="AB94" s="34"/>
      <c r="AC94" s="30"/>
      <c r="AD94" s="30"/>
      <c r="AE94" s="30"/>
      <c r="AF94" s="30"/>
      <c r="AG94" s="30"/>
      <c r="AH94" s="30"/>
      <c r="AI94" s="30"/>
      <c r="AJ94" s="30"/>
      <c r="AK94" s="30"/>
      <c r="AL94" s="30"/>
      <c r="AM94" s="30"/>
      <c r="AN94" s="30"/>
      <c r="AO94" s="30"/>
    </row>
    <row r="95" spans="1:41" s="39" customFormat="1" ht="18" customHeight="1">
      <c r="A95" s="32">
        <v>17</v>
      </c>
      <c r="B95" s="137"/>
      <c r="C95" s="20" t="str">
        <f>IF(A95="","VARA",VLOOKUP(A95,'[1]varas'!$A$4:$B$67,2))</f>
        <v>17ª VT Recife</v>
      </c>
      <c r="D95" s="29"/>
      <c r="E95" s="16"/>
      <c r="F95" s="15">
        <v>0</v>
      </c>
      <c r="G95" s="15">
        <v>0</v>
      </c>
      <c r="H95" s="15">
        <v>0</v>
      </c>
      <c r="I95" s="17">
        <f>SUM(F95:H95)</f>
        <v>0</v>
      </c>
      <c r="J95" s="15">
        <v>0</v>
      </c>
      <c r="K95" s="15">
        <v>0</v>
      </c>
      <c r="L95" s="15">
        <v>0</v>
      </c>
      <c r="M95" s="15">
        <v>0</v>
      </c>
      <c r="N95" s="15">
        <v>0</v>
      </c>
      <c r="O95" s="15">
        <v>0</v>
      </c>
      <c r="P95" s="15">
        <f>SUM(J95:O95)</f>
        <v>0</v>
      </c>
      <c r="Q95" s="15">
        <v>0</v>
      </c>
      <c r="R95" s="15">
        <v>0</v>
      </c>
      <c r="S95" s="15">
        <v>0</v>
      </c>
      <c r="T95" s="15">
        <v>0</v>
      </c>
      <c r="U95" s="15">
        <v>0</v>
      </c>
      <c r="V95" s="18"/>
      <c r="W95" s="18"/>
      <c r="X95" s="30"/>
      <c r="Y95" s="30"/>
      <c r="Z95" s="30"/>
      <c r="AA95" s="30"/>
      <c r="AB95" s="34"/>
      <c r="AC95" s="30"/>
      <c r="AD95" s="30"/>
      <c r="AE95" s="30"/>
      <c r="AF95" s="30"/>
      <c r="AG95" s="30"/>
      <c r="AH95" s="30"/>
      <c r="AI95" s="30"/>
      <c r="AJ95" s="30"/>
      <c r="AK95" s="30"/>
      <c r="AL95" s="30"/>
      <c r="AM95" s="30"/>
      <c r="AN95" s="30"/>
      <c r="AO95" s="30"/>
    </row>
    <row r="96" spans="1:41" s="53" customFormat="1" ht="18" customHeight="1">
      <c r="A96" s="47"/>
      <c r="B96" s="137"/>
      <c r="C96" s="20" t="s">
        <v>12</v>
      </c>
      <c r="D96" s="24"/>
      <c r="E96" s="48"/>
      <c r="F96" s="24">
        <f>SUM(F94:F95)</f>
        <v>0</v>
      </c>
      <c r="G96" s="24">
        <f>SUM(G94:G95)</f>
        <v>0</v>
      </c>
      <c r="H96" s="24">
        <f>SUM(H94:H95)</f>
        <v>0</v>
      </c>
      <c r="I96" s="40">
        <f>SUM(F96:H96)</f>
        <v>0</v>
      </c>
      <c r="J96" s="24">
        <f aca="true" t="shared" si="27" ref="J96:O96">SUM(J94:J95)</f>
        <v>0</v>
      </c>
      <c r="K96" s="24">
        <f t="shared" si="27"/>
        <v>0</v>
      </c>
      <c r="L96" s="24">
        <f t="shared" si="27"/>
        <v>0</v>
      </c>
      <c r="M96" s="24">
        <f t="shared" si="27"/>
        <v>0</v>
      </c>
      <c r="N96" s="24">
        <f t="shared" si="27"/>
        <v>0</v>
      </c>
      <c r="O96" s="24">
        <f t="shared" si="27"/>
        <v>0</v>
      </c>
      <c r="P96" s="24">
        <f>SUM(J96:O96)</f>
        <v>0</v>
      </c>
      <c r="Q96" s="24">
        <f>SUM(Q94:Q95)</f>
        <v>0</v>
      </c>
      <c r="R96" s="24">
        <f>SUM(R94:R95)</f>
        <v>0</v>
      </c>
      <c r="S96" s="24">
        <f>SUM(S94:S95)</f>
        <v>0</v>
      </c>
      <c r="T96" s="24">
        <f>SUM(T94:T95)</f>
        <v>0</v>
      </c>
      <c r="U96" s="24">
        <f>SUM(U94:U95)</f>
        <v>0</v>
      </c>
      <c r="V96" s="26">
        <f>IF(I96-Q96=0,"",IF(D96="",(P96+S96)/(I96-Q96),IF(AND(D96&lt;&gt;"",(P96+S96)/(I96-Q96)&gt;=50%),(P96+S96)/(I96-Q96),"")))</f>
      </c>
      <c r="W96" s="26">
        <f>IF(I96=O96,"",IF(V96="",0,(P96+Q96+S96-O96)/(I96-O96)))</f>
      </c>
      <c r="X96" s="49"/>
      <c r="Y96" s="49"/>
      <c r="Z96" s="49"/>
      <c r="AA96" s="49"/>
      <c r="AB96" s="50"/>
      <c r="AC96" s="49"/>
      <c r="AD96" s="49"/>
      <c r="AE96" s="49"/>
      <c r="AF96" s="49"/>
      <c r="AG96" s="49"/>
      <c r="AH96" s="49"/>
      <c r="AI96" s="49"/>
      <c r="AJ96" s="49"/>
      <c r="AK96" s="49"/>
      <c r="AL96" s="49"/>
      <c r="AM96" s="49"/>
      <c r="AN96" s="49"/>
      <c r="AO96" s="49"/>
    </row>
    <row r="97" spans="1:41" s="39" customFormat="1" ht="18.75" customHeight="1">
      <c r="A97" s="32"/>
      <c r="B97" s="137" t="s">
        <v>51</v>
      </c>
      <c r="C97" s="14" t="s">
        <v>2</v>
      </c>
      <c r="D97" s="29" t="s">
        <v>30</v>
      </c>
      <c r="E97" s="16" t="s">
        <v>199</v>
      </c>
      <c r="F97" s="15"/>
      <c r="G97" s="15"/>
      <c r="H97" s="15"/>
      <c r="I97" s="17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8"/>
      <c r="W97" s="18"/>
      <c r="X97" s="30"/>
      <c r="Y97" s="30"/>
      <c r="Z97" s="30"/>
      <c r="AA97" s="30"/>
      <c r="AB97" s="34"/>
      <c r="AC97" s="30"/>
      <c r="AD97" s="30"/>
      <c r="AE97" s="30"/>
      <c r="AF97" s="30"/>
      <c r="AG97" s="30"/>
      <c r="AH97" s="30"/>
      <c r="AI97" s="30"/>
      <c r="AJ97" s="30"/>
      <c r="AK97" s="30"/>
      <c r="AL97" s="30"/>
      <c r="AM97" s="30"/>
      <c r="AN97" s="30"/>
      <c r="AO97" s="30"/>
    </row>
    <row r="98" spans="1:41" s="39" customFormat="1" ht="17.25" customHeight="1">
      <c r="A98" s="32">
        <v>7</v>
      </c>
      <c r="B98" s="137"/>
      <c r="C98" s="20" t="str">
        <f>IF(A98="","VARA",VLOOKUP(A98,'[1]varas'!$A$4:$B$67,2))</f>
        <v>7ª VT Recife</v>
      </c>
      <c r="D98" s="15"/>
      <c r="E98" s="16"/>
      <c r="F98" s="15">
        <f>4+9</f>
        <v>13</v>
      </c>
      <c r="G98" s="15">
        <v>7</v>
      </c>
      <c r="H98" s="15">
        <v>7</v>
      </c>
      <c r="I98" s="17">
        <f>SUM(F98:H98)</f>
        <v>27</v>
      </c>
      <c r="J98" s="15">
        <v>14</v>
      </c>
      <c r="K98" s="15">
        <v>0</v>
      </c>
      <c r="L98" s="15">
        <v>5</v>
      </c>
      <c r="M98" s="15">
        <v>4</v>
      </c>
      <c r="N98" s="15">
        <v>0</v>
      </c>
      <c r="O98" s="15">
        <v>2</v>
      </c>
      <c r="P98" s="15">
        <f>SUM(J98:O98)</f>
        <v>25</v>
      </c>
      <c r="Q98" s="15">
        <v>2</v>
      </c>
      <c r="R98" s="15">
        <v>0</v>
      </c>
      <c r="S98" s="15">
        <v>0</v>
      </c>
      <c r="T98" s="15">
        <v>0</v>
      </c>
      <c r="U98" s="15">
        <v>3</v>
      </c>
      <c r="V98" s="18"/>
      <c r="W98" s="18"/>
      <c r="X98" s="30"/>
      <c r="Y98" s="30"/>
      <c r="Z98" s="30"/>
      <c r="AA98" s="30"/>
      <c r="AB98" s="34"/>
      <c r="AC98" s="30"/>
      <c r="AD98" s="30"/>
      <c r="AE98" s="30"/>
      <c r="AF98" s="30"/>
      <c r="AG98" s="30"/>
      <c r="AH98" s="30"/>
      <c r="AI98" s="30"/>
      <c r="AJ98" s="30"/>
      <c r="AK98" s="30"/>
      <c r="AL98" s="30"/>
      <c r="AM98" s="30"/>
      <c r="AN98" s="30"/>
      <c r="AO98" s="30"/>
    </row>
    <row r="99" spans="1:41" s="53" customFormat="1" ht="18.75" customHeight="1">
      <c r="A99" s="47"/>
      <c r="B99" s="137"/>
      <c r="C99" s="21" t="s">
        <v>12</v>
      </c>
      <c r="D99" s="51"/>
      <c r="E99" s="52"/>
      <c r="F99" s="24">
        <f>SUM(F97:F98)</f>
        <v>13</v>
      </c>
      <c r="G99" s="24">
        <f>SUM(G97:G98)</f>
        <v>7</v>
      </c>
      <c r="H99" s="24">
        <f>SUM(H97:H98)</f>
        <v>7</v>
      </c>
      <c r="I99" s="25">
        <f>SUM(F99:H99)</f>
        <v>27</v>
      </c>
      <c r="J99" s="24">
        <f aca="true" t="shared" si="28" ref="J99:O99">SUM(J97:J98)</f>
        <v>14</v>
      </c>
      <c r="K99" s="24">
        <f t="shared" si="28"/>
        <v>0</v>
      </c>
      <c r="L99" s="24">
        <f t="shared" si="28"/>
        <v>5</v>
      </c>
      <c r="M99" s="24">
        <f t="shared" si="28"/>
        <v>4</v>
      </c>
      <c r="N99" s="24">
        <f t="shared" si="28"/>
        <v>0</v>
      </c>
      <c r="O99" s="24">
        <f t="shared" si="28"/>
        <v>2</v>
      </c>
      <c r="P99" s="24">
        <f>SUM(J99:O99)</f>
        <v>25</v>
      </c>
      <c r="Q99" s="24">
        <f>SUM(Q97:Q98)</f>
        <v>2</v>
      </c>
      <c r="R99" s="24">
        <f>SUM(R97:R98)</f>
        <v>0</v>
      </c>
      <c r="S99" s="24">
        <f>SUM(S97:S98)</f>
        <v>0</v>
      </c>
      <c r="T99" s="24">
        <f>SUM(T97:T98)</f>
        <v>0</v>
      </c>
      <c r="U99" s="24">
        <f>SUM(U97:U98)</f>
        <v>3</v>
      </c>
      <c r="V99" s="26">
        <f>IF(I99-Q99=0,"",IF(D99="",(P99+S99)/(I99-Q99),IF(AND(D99&lt;&gt;"",(P99+S99)/(I99-Q99)&gt;=50%),(P99+S99)/(I99-Q99),"")))</f>
        <v>1</v>
      </c>
      <c r="W99" s="26">
        <f>IF(I99=O99,"",IF(V99="",0,(P99+Q99+S99-O99)/(I99-O99)))</f>
        <v>1</v>
      </c>
      <c r="X99" s="49"/>
      <c r="Y99" s="49"/>
      <c r="Z99" s="49"/>
      <c r="AA99" s="49"/>
      <c r="AB99" s="50"/>
      <c r="AC99" s="49"/>
      <c r="AD99" s="49"/>
      <c r="AE99" s="49"/>
      <c r="AF99" s="49"/>
      <c r="AG99" s="49"/>
      <c r="AH99" s="49"/>
      <c r="AI99" s="49"/>
      <c r="AJ99" s="49"/>
      <c r="AK99" s="49"/>
      <c r="AL99" s="49"/>
      <c r="AM99" s="49"/>
      <c r="AN99" s="49"/>
      <c r="AO99" s="49"/>
    </row>
    <row r="100" spans="1:41" s="39" customFormat="1" ht="24.75" customHeight="1">
      <c r="A100" s="32"/>
      <c r="B100" s="137" t="s">
        <v>52</v>
      </c>
      <c r="C100" s="14" t="s">
        <v>156</v>
      </c>
      <c r="D100" s="29"/>
      <c r="E100" s="16" t="s">
        <v>27</v>
      </c>
      <c r="F100" s="15"/>
      <c r="G100" s="15"/>
      <c r="H100" s="15"/>
      <c r="I100" s="17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8"/>
      <c r="W100" s="18"/>
      <c r="X100" s="30"/>
      <c r="Y100" s="30"/>
      <c r="Z100" s="30"/>
      <c r="AA100" s="30"/>
      <c r="AB100" s="34"/>
      <c r="AC100" s="30"/>
      <c r="AD100" s="30"/>
      <c r="AE100" s="30"/>
      <c r="AF100" s="30"/>
      <c r="AG100" s="30"/>
      <c r="AH100" s="30"/>
      <c r="AI100" s="30"/>
      <c r="AJ100" s="30"/>
      <c r="AK100" s="30"/>
      <c r="AL100" s="30"/>
      <c r="AM100" s="30"/>
      <c r="AN100" s="30"/>
      <c r="AO100" s="30"/>
    </row>
    <row r="101" spans="1:41" s="39" customFormat="1" ht="20.25" customHeight="1">
      <c r="A101" s="32">
        <v>7</v>
      </c>
      <c r="B101" s="137"/>
      <c r="C101" s="20" t="str">
        <f>IF(A101="","VARA",VLOOKUP(A101,'[1]varas'!$A$4:$B$67,2))</f>
        <v>7ª VT Recife</v>
      </c>
      <c r="D101" s="29"/>
      <c r="E101" s="16"/>
      <c r="F101" s="15">
        <f>53+43+12</f>
        <v>108</v>
      </c>
      <c r="G101" s="15">
        <v>4</v>
      </c>
      <c r="H101" s="15">
        <v>4</v>
      </c>
      <c r="I101" s="17">
        <f>SUM(F101:H101)</f>
        <v>116</v>
      </c>
      <c r="J101" s="15">
        <v>36</v>
      </c>
      <c r="K101" s="15">
        <v>6</v>
      </c>
      <c r="L101" s="15">
        <v>12</v>
      </c>
      <c r="M101" s="15">
        <v>0</v>
      </c>
      <c r="N101" s="15">
        <v>0</v>
      </c>
      <c r="O101" s="15">
        <v>43</v>
      </c>
      <c r="P101" s="15">
        <f>SUM(J101:O101)</f>
        <v>97</v>
      </c>
      <c r="Q101" s="15">
        <v>15</v>
      </c>
      <c r="R101" s="15">
        <v>3</v>
      </c>
      <c r="S101" s="15">
        <v>1</v>
      </c>
      <c r="T101" s="15">
        <v>0</v>
      </c>
      <c r="U101" s="15">
        <v>210</v>
      </c>
      <c r="V101" s="18"/>
      <c r="W101" s="18"/>
      <c r="X101" s="30"/>
      <c r="Y101" s="30"/>
      <c r="Z101" s="30"/>
      <c r="AA101" s="30"/>
      <c r="AB101" s="34"/>
      <c r="AC101" s="30"/>
      <c r="AD101" s="30"/>
      <c r="AE101" s="30"/>
      <c r="AF101" s="30"/>
      <c r="AG101" s="30"/>
      <c r="AH101" s="30"/>
      <c r="AI101" s="30"/>
      <c r="AJ101" s="30"/>
      <c r="AK101" s="30"/>
      <c r="AL101" s="30"/>
      <c r="AM101" s="30"/>
      <c r="AN101" s="30"/>
      <c r="AO101" s="30"/>
    </row>
    <row r="102" spans="1:41" s="53" customFormat="1" ht="17.25" customHeight="1">
      <c r="A102" s="47"/>
      <c r="B102" s="137"/>
      <c r="C102" s="20" t="s">
        <v>12</v>
      </c>
      <c r="D102" s="24"/>
      <c r="E102" s="48"/>
      <c r="F102" s="24">
        <f>SUM(F100:F101)</f>
        <v>108</v>
      </c>
      <c r="G102" s="24">
        <f>SUM(G100:G101)</f>
        <v>4</v>
      </c>
      <c r="H102" s="24">
        <f>SUM(H100:H101)</f>
        <v>4</v>
      </c>
      <c r="I102" s="40">
        <f>SUM(F102:H102)</f>
        <v>116</v>
      </c>
      <c r="J102" s="24">
        <f aca="true" t="shared" si="29" ref="J102:O102">SUM(J100:J101)</f>
        <v>36</v>
      </c>
      <c r="K102" s="24">
        <f t="shared" si="29"/>
        <v>6</v>
      </c>
      <c r="L102" s="24">
        <f t="shared" si="29"/>
        <v>12</v>
      </c>
      <c r="M102" s="24">
        <f t="shared" si="29"/>
        <v>0</v>
      </c>
      <c r="N102" s="24">
        <f t="shared" si="29"/>
        <v>0</v>
      </c>
      <c r="O102" s="24">
        <f t="shared" si="29"/>
        <v>43</v>
      </c>
      <c r="P102" s="24">
        <f>SUM(J102:O102)</f>
        <v>97</v>
      </c>
      <c r="Q102" s="24">
        <f>SUM(Q100:Q101)</f>
        <v>15</v>
      </c>
      <c r="R102" s="24">
        <f>SUM(R100:R101)</f>
        <v>3</v>
      </c>
      <c r="S102" s="24">
        <f>SUM(S100:S101)</f>
        <v>1</v>
      </c>
      <c r="T102" s="24">
        <f>SUM(T100:T101)</f>
        <v>0</v>
      </c>
      <c r="U102" s="24">
        <f>SUM(U100:U101)</f>
        <v>210</v>
      </c>
      <c r="V102" s="26">
        <f>IF(I102-Q102=0,"",IF(D102="",(P102+S102)/(I102-Q102),IF(AND(D102&lt;&gt;"",(P102+S102)/(I102-Q102)&gt;=50%),(P102+S102)/(I102-Q102),"")))</f>
        <v>0.9702970297029703</v>
      </c>
      <c r="W102" s="26">
        <f>IF(I102=O102,"",IF(V102="",0,(P102+Q102+S102-O102)/(I102-O102)))</f>
        <v>0.958904109589041</v>
      </c>
      <c r="X102" s="49"/>
      <c r="Y102" s="49"/>
      <c r="Z102" s="49"/>
      <c r="AA102" s="49"/>
      <c r="AB102" s="50"/>
      <c r="AC102" s="49"/>
      <c r="AD102" s="49"/>
      <c r="AE102" s="49"/>
      <c r="AF102" s="49"/>
      <c r="AG102" s="49"/>
      <c r="AH102" s="49"/>
      <c r="AI102" s="49"/>
      <c r="AJ102" s="49"/>
      <c r="AK102" s="49"/>
      <c r="AL102" s="49"/>
      <c r="AM102" s="49"/>
      <c r="AN102" s="49"/>
      <c r="AO102" s="49"/>
    </row>
    <row r="103" spans="1:41" s="39" customFormat="1" ht="20.25" customHeight="1">
      <c r="A103" s="32"/>
      <c r="B103" s="137" t="s">
        <v>53</v>
      </c>
      <c r="C103" s="14" t="s">
        <v>156</v>
      </c>
      <c r="D103" s="29" t="s">
        <v>30</v>
      </c>
      <c r="E103" s="16" t="s">
        <v>208</v>
      </c>
      <c r="F103" s="15"/>
      <c r="G103" s="15"/>
      <c r="H103" s="15"/>
      <c r="I103" s="17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8"/>
      <c r="W103" s="18"/>
      <c r="X103" s="30"/>
      <c r="Y103" s="30"/>
      <c r="Z103" s="30"/>
      <c r="AA103" s="30"/>
      <c r="AB103" s="34"/>
      <c r="AC103" s="30"/>
      <c r="AD103" s="30"/>
      <c r="AE103" s="30"/>
      <c r="AF103" s="30"/>
      <c r="AG103" s="30"/>
      <c r="AH103" s="30"/>
      <c r="AI103" s="30"/>
      <c r="AJ103" s="30"/>
      <c r="AK103" s="30"/>
      <c r="AL103" s="30"/>
      <c r="AM103" s="30"/>
      <c r="AN103" s="30"/>
      <c r="AO103" s="30"/>
    </row>
    <row r="104" spans="1:41" s="39" customFormat="1" ht="23.25" customHeight="1">
      <c r="A104" s="32">
        <v>5</v>
      </c>
      <c r="B104" s="137"/>
      <c r="C104" s="20" t="str">
        <f>IF(A104="","VARA",VLOOKUP(A104,'[1]varas'!$A$4:$B$67,2))</f>
        <v>5ª VT Recife</v>
      </c>
      <c r="D104" s="15"/>
      <c r="E104" s="16"/>
      <c r="F104" s="15">
        <f>4+9+9</f>
        <v>22</v>
      </c>
      <c r="G104" s="15">
        <v>4</v>
      </c>
      <c r="H104" s="15">
        <v>17</v>
      </c>
      <c r="I104" s="17">
        <f>SUM(F104:H104)</f>
        <v>43</v>
      </c>
      <c r="J104" s="15">
        <v>16</v>
      </c>
      <c r="K104" s="15">
        <v>1</v>
      </c>
      <c r="L104" s="15">
        <v>9</v>
      </c>
      <c r="M104" s="15">
        <v>0</v>
      </c>
      <c r="N104" s="15">
        <v>0</v>
      </c>
      <c r="O104" s="15">
        <v>9</v>
      </c>
      <c r="P104" s="15">
        <f>SUM(J104:O104)</f>
        <v>35</v>
      </c>
      <c r="Q104" s="15">
        <v>0</v>
      </c>
      <c r="R104" s="15">
        <v>8</v>
      </c>
      <c r="S104" s="15">
        <v>0</v>
      </c>
      <c r="T104" s="15">
        <v>0</v>
      </c>
      <c r="U104" s="15">
        <v>66</v>
      </c>
      <c r="V104" s="18"/>
      <c r="W104" s="18"/>
      <c r="X104" s="30"/>
      <c r="Y104" s="30"/>
      <c r="Z104" s="30"/>
      <c r="AA104" s="30"/>
      <c r="AB104" s="34"/>
      <c r="AC104" s="30"/>
      <c r="AD104" s="30"/>
      <c r="AE104" s="30"/>
      <c r="AF104" s="30"/>
      <c r="AG104" s="30"/>
      <c r="AH104" s="30"/>
      <c r="AI104" s="30"/>
      <c r="AJ104" s="30"/>
      <c r="AK104" s="30"/>
      <c r="AL104" s="30"/>
      <c r="AM104" s="30"/>
      <c r="AN104" s="30"/>
      <c r="AO104" s="30"/>
    </row>
    <row r="105" spans="1:41" s="39" customFormat="1" ht="21" customHeight="1">
      <c r="A105" s="32">
        <v>6</v>
      </c>
      <c r="B105" s="137"/>
      <c r="C105" s="20" t="str">
        <f>IF(A105="","VARA",VLOOKUP(A105,'[1]varas'!$A$4:$B$67,2))</f>
        <v>6ª VT Recife</v>
      </c>
      <c r="D105" s="15"/>
      <c r="E105" s="16"/>
      <c r="F105" s="15">
        <v>0</v>
      </c>
      <c r="G105" s="15">
        <v>0</v>
      </c>
      <c r="H105" s="15">
        <v>5</v>
      </c>
      <c r="I105" s="17">
        <f>SUM(F105:H105)</f>
        <v>5</v>
      </c>
      <c r="J105" s="15">
        <v>0</v>
      </c>
      <c r="K105" s="15">
        <v>0</v>
      </c>
      <c r="L105" s="15">
        <v>0</v>
      </c>
      <c r="M105" s="15">
        <v>0</v>
      </c>
      <c r="N105" s="15">
        <v>0</v>
      </c>
      <c r="O105" s="15">
        <v>0</v>
      </c>
      <c r="P105" s="15">
        <f>SUM(J105:O105)</f>
        <v>0</v>
      </c>
      <c r="Q105" s="15">
        <v>0</v>
      </c>
      <c r="R105" s="15">
        <v>5</v>
      </c>
      <c r="S105" s="15">
        <v>0</v>
      </c>
      <c r="T105" s="15">
        <v>0</v>
      </c>
      <c r="U105" s="15">
        <v>0</v>
      </c>
      <c r="V105" s="18"/>
      <c r="W105" s="18"/>
      <c r="X105" s="30"/>
      <c r="Y105" s="30"/>
      <c r="Z105" s="30"/>
      <c r="AA105" s="30"/>
      <c r="AB105" s="34"/>
      <c r="AC105" s="30"/>
      <c r="AD105" s="30"/>
      <c r="AE105" s="30"/>
      <c r="AF105" s="30"/>
      <c r="AG105" s="30"/>
      <c r="AH105" s="30"/>
      <c r="AI105" s="30"/>
      <c r="AJ105" s="30"/>
      <c r="AK105" s="30"/>
      <c r="AL105" s="30"/>
      <c r="AM105" s="30"/>
      <c r="AN105" s="30"/>
      <c r="AO105" s="30"/>
    </row>
    <row r="106" spans="1:41" s="39" customFormat="1" ht="18" customHeight="1">
      <c r="A106" s="32"/>
      <c r="B106" s="137"/>
      <c r="C106" s="21" t="s">
        <v>12</v>
      </c>
      <c r="D106" s="33"/>
      <c r="E106" s="23"/>
      <c r="F106" s="24">
        <f>SUM(F103:F105)</f>
        <v>22</v>
      </c>
      <c r="G106" s="24">
        <f>SUM(G103:G105)</f>
        <v>4</v>
      </c>
      <c r="H106" s="24">
        <f>SUM(H103:H105)</f>
        <v>22</v>
      </c>
      <c r="I106" s="40">
        <f>SUM(F106:H106)</f>
        <v>48</v>
      </c>
      <c r="J106" s="24">
        <f aca="true" t="shared" si="30" ref="J106:O106">SUM(J103:J105)</f>
        <v>16</v>
      </c>
      <c r="K106" s="24">
        <f t="shared" si="30"/>
        <v>1</v>
      </c>
      <c r="L106" s="24">
        <f t="shared" si="30"/>
        <v>9</v>
      </c>
      <c r="M106" s="24">
        <f t="shared" si="30"/>
        <v>0</v>
      </c>
      <c r="N106" s="24">
        <f t="shared" si="30"/>
        <v>0</v>
      </c>
      <c r="O106" s="24">
        <f t="shared" si="30"/>
        <v>9</v>
      </c>
      <c r="P106" s="24">
        <f>SUM(J106:O106)</f>
        <v>35</v>
      </c>
      <c r="Q106" s="24">
        <f>SUM(Q103:Q105)</f>
        <v>0</v>
      </c>
      <c r="R106" s="24">
        <f>SUM(R103:R105)</f>
        <v>13</v>
      </c>
      <c r="S106" s="24">
        <f>SUM(S103:S105)</f>
        <v>0</v>
      </c>
      <c r="T106" s="24">
        <f>SUM(T103:T105)</f>
        <v>0</v>
      </c>
      <c r="U106" s="24">
        <f>SUM(U103:U105)</f>
        <v>66</v>
      </c>
      <c r="V106" s="26">
        <f>IF(I106-Q106=0,"",IF(D106="",(P106+S106)/(I106-Q106),IF(AND(D106&lt;&gt;"",(P106+S106)/(I106-Q106)&gt;=50%),(P106+S106)/(I106-Q106),"")))</f>
        <v>0.7291666666666666</v>
      </c>
      <c r="W106" s="26">
        <f>IF(I106=O106,"",IF(V106="",0,(P106+Q106+S106-O106)/(I106-O106)))</f>
        <v>0.6666666666666666</v>
      </c>
      <c r="X106" s="30"/>
      <c r="Y106" s="30"/>
      <c r="Z106" s="30"/>
      <c r="AA106" s="30"/>
      <c r="AB106" s="34"/>
      <c r="AC106" s="30"/>
      <c r="AD106" s="30"/>
      <c r="AE106" s="30"/>
      <c r="AF106" s="30"/>
      <c r="AG106" s="30"/>
      <c r="AH106" s="30"/>
      <c r="AI106" s="30"/>
      <c r="AJ106" s="30"/>
      <c r="AK106" s="30"/>
      <c r="AL106" s="30"/>
      <c r="AM106" s="30"/>
      <c r="AN106" s="30"/>
      <c r="AO106" s="30"/>
    </row>
    <row r="107" spans="1:41" s="39" customFormat="1" ht="21.75" customHeight="1">
      <c r="A107" s="32"/>
      <c r="B107" s="137" t="s">
        <v>54</v>
      </c>
      <c r="C107" s="14" t="s">
        <v>2</v>
      </c>
      <c r="D107" s="15"/>
      <c r="E107" s="16" t="s">
        <v>27</v>
      </c>
      <c r="F107" s="15"/>
      <c r="G107" s="15"/>
      <c r="H107" s="15"/>
      <c r="I107" s="17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8"/>
      <c r="W107" s="18"/>
      <c r="X107" s="30"/>
      <c r="Y107" s="30"/>
      <c r="Z107" s="30"/>
      <c r="AA107" s="30"/>
      <c r="AB107" s="34"/>
      <c r="AC107" s="30"/>
      <c r="AD107" s="30"/>
      <c r="AE107" s="30"/>
      <c r="AF107" s="30"/>
      <c r="AG107" s="30"/>
      <c r="AH107" s="30"/>
      <c r="AI107" s="30"/>
      <c r="AJ107" s="30"/>
      <c r="AK107" s="30"/>
      <c r="AL107" s="30"/>
      <c r="AM107" s="30"/>
      <c r="AN107" s="30"/>
      <c r="AO107" s="30"/>
    </row>
    <row r="108" spans="1:41" s="39" customFormat="1" ht="21" customHeight="1">
      <c r="A108" s="32">
        <v>16</v>
      </c>
      <c r="B108" s="137"/>
      <c r="C108" s="20" t="str">
        <f>IF(A108="","VARA",VLOOKUP(A108,'[1]varas'!$A$4:$B$67,2))</f>
        <v>16ª VT Recife</v>
      </c>
      <c r="D108" s="15"/>
      <c r="E108" s="16"/>
      <c r="F108" s="15">
        <v>1</v>
      </c>
      <c r="G108" s="15">
        <v>0</v>
      </c>
      <c r="H108" s="15">
        <v>0</v>
      </c>
      <c r="I108" s="17">
        <f>SUM(F108:H108)</f>
        <v>1</v>
      </c>
      <c r="J108" s="15">
        <v>0</v>
      </c>
      <c r="K108" s="15">
        <v>0</v>
      </c>
      <c r="L108" s="15">
        <v>1</v>
      </c>
      <c r="M108" s="15">
        <v>0</v>
      </c>
      <c r="N108" s="15">
        <v>0</v>
      </c>
      <c r="O108" s="15">
        <v>0</v>
      </c>
      <c r="P108" s="15">
        <f>SUM(J108:O108)</f>
        <v>1</v>
      </c>
      <c r="Q108" s="15">
        <v>0</v>
      </c>
      <c r="R108" s="15">
        <v>0</v>
      </c>
      <c r="S108" s="15">
        <v>0</v>
      </c>
      <c r="T108" s="15">
        <v>0</v>
      </c>
      <c r="U108" s="15">
        <v>2</v>
      </c>
      <c r="V108" s="18"/>
      <c r="W108" s="18"/>
      <c r="X108" s="30"/>
      <c r="Y108" s="30"/>
      <c r="Z108" s="30"/>
      <c r="AA108" s="30"/>
      <c r="AB108" s="34"/>
      <c r="AC108" s="30"/>
      <c r="AD108" s="30"/>
      <c r="AE108" s="30"/>
      <c r="AF108" s="30"/>
      <c r="AG108" s="30"/>
      <c r="AH108" s="30"/>
      <c r="AI108" s="30"/>
      <c r="AJ108" s="30"/>
      <c r="AK108" s="30"/>
      <c r="AL108" s="30"/>
      <c r="AM108" s="30"/>
      <c r="AN108" s="30"/>
      <c r="AO108" s="30"/>
    </row>
    <row r="109" spans="1:41" s="39" customFormat="1" ht="19.5" customHeight="1">
      <c r="A109" s="32">
        <v>57</v>
      </c>
      <c r="B109" s="137"/>
      <c r="C109" s="20" t="str">
        <f>IF(A109="","VARA",VLOOKUP(A109,'[1]varas'!$A$4:$B$67,2))</f>
        <v>VT S. Lourenço </v>
      </c>
      <c r="D109" s="15"/>
      <c r="E109" s="16"/>
      <c r="F109" s="15">
        <f>45+41+9+11+6+0</f>
        <v>112</v>
      </c>
      <c r="G109" s="15">
        <v>15</v>
      </c>
      <c r="H109" s="15">
        <v>26</v>
      </c>
      <c r="I109" s="17">
        <f>SUM(F109:H109)</f>
        <v>153</v>
      </c>
      <c r="J109" s="15">
        <v>19</v>
      </c>
      <c r="K109" s="15">
        <v>9</v>
      </c>
      <c r="L109" s="15">
        <v>8</v>
      </c>
      <c r="M109" s="15">
        <v>10</v>
      </c>
      <c r="N109" s="15">
        <v>6</v>
      </c>
      <c r="O109" s="15">
        <v>41</v>
      </c>
      <c r="P109" s="15">
        <f>SUM(J109:O109)</f>
        <v>93</v>
      </c>
      <c r="Q109" s="15">
        <v>11</v>
      </c>
      <c r="R109" s="15">
        <v>49</v>
      </c>
      <c r="S109" s="15">
        <v>0</v>
      </c>
      <c r="T109" s="15">
        <v>0</v>
      </c>
      <c r="U109" s="15">
        <v>162</v>
      </c>
      <c r="V109" s="18"/>
      <c r="W109" s="18"/>
      <c r="X109" s="30"/>
      <c r="Y109" s="30"/>
      <c r="Z109" s="30"/>
      <c r="AA109" s="30"/>
      <c r="AB109" s="34"/>
      <c r="AC109" s="30"/>
      <c r="AD109" s="30"/>
      <c r="AE109" s="30"/>
      <c r="AF109" s="30"/>
      <c r="AG109" s="30"/>
      <c r="AH109" s="30"/>
      <c r="AI109" s="30"/>
      <c r="AJ109" s="30"/>
      <c r="AK109" s="30"/>
      <c r="AL109" s="30"/>
      <c r="AM109" s="30"/>
      <c r="AN109" s="30"/>
      <c r="AO109" s="30"/>
    </row>
    <row r="110" spans="1:41" s="53" customFormat="1" ht="17.25" customHeight="1">
      <c r="A110" s="47"/>
      <c r="B110" s="137"/>
      <c r="C110" s="20" t="s">
        <v>12</v>
      </c>
      <c r="D110" s="24"/>
      <c r="E110" s="48"/>
      <c r="F110" s="24">
        <f>SUM(F107:F109)</f>
        <v>113</v>
      </c>
      <c r="G110" s="24">
        <f>SUM(G107:G109)</f>
        <v>15</v>
      </c>
      <c r="H110" s="24">
        <f>SUM(H107:H109)</f>
        <v>26</v>
      </c>
      <c r="I110" s="40">
        <f>SUM(F110:H110)</f>
        <v>154</v>
      </c>
      <c r="J110" s="24">
        <f aca="true" t="shared" si="31" ref="J110:O110">SUM(J107:J109)</f>
        <v>19</v>
      </c>
      <c r="K110" s="24">
        <f t="shared" si="31"/>
        <v>9</v>
      </c>
      <c r="L110" s="24">
        <f t="shared" si="31"/>
        <v>9</v>
      </c>
      <c r="M110" s="24">
        <f t="shared" si="31"/>
        <v>10</v>
      </c>
      <c r="N110" s="24">
        <f t="shared" si="31"/>
        <v>6</v>
      </c>
      <c r="O110" s="24">
        <f t="shared" si="31"/>
        <v>41</v>
      </c>
      <c r="P110" s="24">
        <f>SUM(J110:O110)</f>
        <v>94</v>
      </c>
      <c r="Q110" s="24">
        <f>SUM(Q107:Q109)</f>
        <v>11</v>
      </c>
      <c r="R110" s="24">
        <f>SUM(R107:R109)</f>
        <v>49</v>
      </c>
      <c r="S110" s="24">
        <f>SUM(S107:S109)</f>
        <v>0</v>
      </c>
      <c r="T110" s="24">
        <f>SUM(T107:T109)</f>
        <v>0</v>
      </c>
      <c r="U110" s="24">
        <f>SUM(U107:U109)</f>
        <v>164</v>
      </c>
      <c r="V110" s="26">
        <f>IF(I110-Q110=0,"",IF(D110="",(P110+S110)/(I110-Q110),IF(AND(D110&lt;&gt;"",(P110+S110)/(I110-Q110)&gt;=50%),(P110+S110)/(I110-Q110),"")))</f>
        <v>0.6573426573426573</v>
      </c>
      <c r="W110" s="26">
        <f>IF(I110=O110,"",IF(V110="",0,(P110+Q110+S110-O110)/(I110-O110)))</f>
        <v>0.5663716814159292</v>
      </c>
      <c r="X110" s="49"/>
      <c r="Y110" s="49"/>
      <c r="Z110" s="49"/>
      <c r="AA110" s="49"/>
      <c r="AB110" s="50"/>
      <c r="AC110" s="49"/>
      <c r="AD110" s="49"/>
      <c r="AE110" s="49"/>
      <c r="AF110" s="49"/>
      <c r="AG110" s="49"/>
      <c r="AH110" s="49"/>
      <c r="AI110" s="49"/>
      <c r="AJ110" s="49"/>
      <c r="AK110" s="49"/>
      <c r="AL110" s="49"/>
      <c r="AM110" s="49"/>
      <c r="AN110" s="49"/>
      <c r="AO110" s="49"/>
    </row>
    <row r="111" spans="1:41" s="39" customFormat="1" ht="23.25" customHeight="1">
      <c r="A111" s="32"/>
      <c r="B111" s="137" t="s">
        <v>55</v>
      </c>
      <c r="C111" s="14" t="s">
        <v>2</v>
      </c>
      <c r="D111" s="29"/>
      <c r="E111" s="16" t="s">
        <v>27</v>
      </c>
      <c r="F111" s="15"/>
      <c r="G111" s="15"/>
      <c r="H111" s="15"/>
      <c r="I111" s="17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8"/>
      <c r="W111" s="18"/>
      <c r="X111" s="30"/>
      <c r="Y111" s="30"/>
      <c r="Z111" s="30"/>
      <c r="AA111" s="30"/>
      <c r="AB111" s="34"/>
      <c r="AC111" s="30"/>
      <c r="AD111" s="30"/>
      <c r="AE111" s="30"/>
      <c r="AF111" s="30"/>
      <c r="AG111" s="30"/>
      <c r="AH111" s="30"/>
      <c r="AI111" s="30"/>
      <c r="AJ111" s="30"/>
      <c r="AK111" s="30"/>
      <c r="AL111" s="30"/>
      <c r="AM111" s="30"/>
      <c r="AN111" s="30"/>
      <c r="AO111" s="30"/>
    </row>
    <row r="112" spans="1:41" s="39" customFormat="1" ht="17.25" customHeight="1">
      <c r="A112" s="32">
        <v>23</v>
      </c>
      <c r="B112" s="137"/>
      <c r="C112" s="20" t="str">
        <f>IF(A112="","VARA",VLOOKUP(A112,'[1]varas'!$A$4:$B$67,2))</f>
        <v>23ª VT Recife</v>
      </c>
      <c r="D112" s="15"/>
      <c r="E112" s="16"/>
      <c r="F112" s="15">
        <f>69+25+22+7</f>
        <v>123</v>
      </c>
      <c r="G112" s="15">
        <v>2</v>
      </c>
      <c r="H112" s="15">
        <v>5</v>
      </c>
      <c r="I112" s="17">
        <f>SUM(F112:H112)</f>
        <v>130</v>
      </c>
      <c r="J112" s="15">
        <v>27</v>
      </c>
      <c r="K112" s="15">
        <v>23</v>
      </c>
      <c r="L112" s="15">
        <v>22</v>
      </c>
      <c r="M112" s="15">
        <v>7</v>
      </c>
      <c r="N112" s="15">
        <v>0</v>
      </c>
      <c r="O112" s="15">
        <v>25</v>
      </c>
      <c r="P112" s="15">
        <f>SUM(J112:O112)</f>
        <v>104</v>
      </c>
      <c r="Q112" s="15">
        <v>21</v>
      </c>
      <c r="R112" s="15">
        <v>5</v>
      </c>
      <c r="S112" s="15">
        <v>0</v>
      </c>
      <c r="T112" s="15">
        <v>0</v>
      </c>
      <c r="U112" s="15">
        <v>131</v>
      </c>
      <c r="V112" s="18"/>
      <c r="W112" s="18"/>
      <c r="X112" s="30"/>
      <c r="Y112" s="30"/>
      <c r="Z112" s="30"/>
      <c r="AA112" s="30"/>
      <c r="AB112" s="34"/>
      <c r="AC112" s="30"/>
      <c r="AD112" s="30"/>
      <c r="AE112" s="30"/>
      <c r="AF112" s="30"/>
      <c r="AG112" s="30"/>
      <c r="AH112" s="30"/>
      <c r="AI112" s="30"/>
      <c r="AJ112" s="30"/>
      <c r="AK112" s="30"/>
      <c r="AL112" s="30"/>
      <c r="AM112" s="30"/>
      <c r="AN112" s="30"/>
      <c r="AO112" s="30"/>
    </row>
    <row r="113" spans="1:41" s="53" customFormat="1" ht="18" customHeight="1">
      <c r="A113" s="47"/>
      <c r="B113" s="131"/>
      <c r="C113" s="21" t="s">
        <v>12</v>
      </c>
      <c r="D113" s="51"/>
      <c r="E113" s="52"/>
      <c r="F113" s="24">
        <f>SUM(F111:F112)</f>
        <v>123</v>
      </c>
      <c r="G113" s="24">
        <f>SUM(G111:G112)</f>
        <v>2</v>
      </c>
      <c r="H113" s="24">
        <f>SUM(H111:H112)</f>
        <v>5</v>
      </c>
      <c r="I113" s="25">
        <f>SUM(F113:H113)</f>
        <v>130</v>
      </c>
      <c r="J113" s="24">
        <f aca="true" t="shared" si="32" ref="J113:O113">SUM(J111:J112)</f>
        <v>27</v>
      </c>
      <c r="K113" s="24">
        <f t="shared" si="32"/>
        <v>23</v>
      </c>
      <c r="L113" s="24">
        <f t="shared" si="32"/>
        <v>22</v>
      </c>
      <c r="M113" s="24">
        <f t="shared" si="32"/>
        <v>7</v>
      </c>
      <c r="N113" s="24">
        <f t="shared" si="32"/>
        <v>0</v>
      </c>
      <c r="O113" s="24">
        <f t="shared" si="32"/>
        <v>25</v>
      </c>
      <c r="P113" s="24">
        <f>SUM(J113:O113)</f>
        <v>104</v>
      </c>
      <c r="Q113" s="24">
        <f>SUM(Q111:Q112)</f>
        <v>21</v>
      </c>
      <c r="R113" s="24">
        <f>SUM(R111:R112)</f>
        <v>5</v>
      </c>
      <c r="S113" s="24">
        <f>SUM(S111:S112)</f>
        <v>0</v>
      </c>
      <c r="T113" s="24">
        <f>SUM(T111:T112)</f>
        <v>0</v>
      </c>
      <c r="U113" s="24">
        <f>SUM(U111:U112)</f>
        <v>131</v>
      </c>
      <c r="V113" s="26">
        <f>IF(I113-Q113=0,"",IF(D113="",(P113+S113)/(I113-Q113),IF(AND(D113&lt;&gt;"",(P113+S113)/(I113-Q113)&gt;=50%),(P113+S113)/(I113-Q113),"")))</f>
        <v>0.9541284403669725</v>
      </c>
      <c r="W113" s="26">
        <f>IF(I113=O113,"",IF(V113="",0,(P113+Q113+S113-O113)/(I113-O113)))</f>
        <v>0.9523809523809523</v>
      </c>
      <c r="X113" s="49"/>
      <c r="Y113" s="49"/>
      <c r="Z113" s="49"/>
      <c r="AA113" s="49"/>
      <c r="AB113" s="50"/>
      <c r="AC113" s="49"/>
      <c r="AD113" s="49"/>
      <c r="AE113" s="49"/>
      <c r="AF113" s="49"/>
      <c r="AG113" s="49"/>
      <c r="AH113" s="49"/>
      <c r="AI113" s="49"/>
      <c r="AJ113" s="49"/>
      <c r="AK113" s="49"/>
      <c r="AL113" s="49"/>
      <c r="AM113" s="49"/>
      <c r="AN113" s="49"/>
      <c r="AO113" s="49"/>
    </row>
    <row r="114" spans="1:41" s="39" customFormat="1" ht="22.5" customHeight="1">
      <c r="A114" s="32"/>
      <c r="B114" s="138" t="s">
        <v>56</v>
      </c>
      <c r="C114" s="105" t="s">
        <v>154</v>
      </c>
      <c r="D114" s="15"/>
      <c r="E114" s="16" t="s">
        <v>27</v>
      </c>
      <c r="F114" s="15"/>
      <c r="G114" s="15"/>
      <c r="H114" s="15"/>
      <c r="I114" s="17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8"/>
      <c r="W114" s="18"/>
      <c r="X114" s="30"/>
      <c r="Y114" s="30"/>
      <c r="Z114" s="30"/>
      <c r="AA114" s="30"/>
      <c r="AB114" s="34"/>
      <c r="AC114" s="30"/>
      <c r="AD114" s="30"/>
      <c r="AE114" s="30"/>
      <c r="AF114" s="30"/>
      <c r="AG114" s="30"/>
      <c r="AH114" s="30"/>
      <c r="AI114" s="30"/>
      <c r="AJ114" s="30"/>
      <c r="AK114" s="30"/>
      <c r="AL114" s="30"/>
      <c r="AM114" s="30"/>
      <c r="AN114" s="30"/>
      <c r="AO114" s="30"/>
    </row>
    <row r="115" spans="1:41" s="39" customFormat="1" ht="18" customHeight="1">
      <c r="A115" s="32">
        <v>3</v>
      </c>
      <c r="B115" s="139"/>
      <c r="C115" s="106" t="str">
        <f>IF(A115="","VARA",VLOOKUP(A115,'[1]varas'!$A$4:$B$67,2))</f>
        <v>3ª VT Recife</v>
      </c>
      <c r="D115" s="15"/>
      <c r="E115" s="16"/>
      <c r="F115" s="15">
        <f>36+22+7+10</f>
        <v>75</v>
      </c>
      <c r="G115" s="15">
        <v>5</v>
      </c>
      <c r="H115" s="15">
        <v>104</v>
      </c>
      <c r="I115" s="17">
        <f>SUM(F115:H115)</f>
        <v>184</v>
      </c>
      <c r="J115" s="15">
        <v>7</v>
      </c>
      <c r="K115" s="15">
        <v>0</v>
      </c>
      <c r="L115" s="15">
        <v>5</v>
      </c>
      <c r="M115" s="15">
        <v>12</v>
      </c>
      <c r="N115" s="15">
        <v>0</v>
      </c>
      <c r="O115" s="15">
        <v>22</v>
      </c>
      <c r="P115" s="15">
        <f>SUM(J115:O115)</f>
        <v>46</v>
      </c>
      <c r="Q115" s="15">
        <v>20</v>
      </c>
      <c r="R115" s="15">
        <v>118</v>
      </c>
      <c r="S115" s="15">
        <v>0</v>
      </c>
      <c r="T115" s="15">
        <v>0</v>
      </c>
      <c r="U115" s="15">
        <v>110</v>
      </c>
      <c r="V115" s="18"/>
      <c r="W115" s="18"/>
      <c r="X115" s="30"/>
      <c r="Y115" s="30"/>
      <c r="Z115" s="30"/>
      <c r="AA115" s="30"/>
      <c r="AB115" s="34"/>
      <c r="AC115" s="30"/>
      <c r="AD115" s="30"/>
      <c r="AE115" s="30"/>
      <c r="AF115" s="30"/>
      <c r="AG115" s="30"/>
      <c r="AH115" s="30"/>
      <c r="AI115" s="30"/>
      <c r="AJ115" s="30"/>
      <c r="AK115" s="30"/>
      <c r="AL115" s="30"/>
      <c r="AM115" s="30"/>
      <c r="AN115" s="30"/>
      <c r="AO115" s="30"/>
    </row>
    <row r="116" spans="1:41" s="39" customFormat="1" ht="17.25" customHeight="1">
      <c r="A116" s="32"/>
      <c r="B116" s="134"/>
      <c r="C116" s="107" t="s">
        <v>12</v>
      </c>
      <c r="D116" s="33"/>
      <c r="E116" s="23"/>
      <c r="F116" s="24">
        <f>SUM(F114:F115)</f>
        <v>75</v>
      </c>
      <c r="G116" s="24">
        <f>SUM(G114:G115)</f>
        <v>5</v>
      </c>
      <c r="H116" s="24">
        <f>SUM(H114:H115)</f>
        <v>104</v>
      </c>
      <c r="I116" s="40">
        <f>SUM(F116:H116)</f>
        <v>184</v>
      </c>
      <c r="J116" s="24">
        <f aca="true" t="shared" si="33" ref="J116:O116">SUM(J114:J115)</f>
        <v>7</v>
      </c>
      <c r="K116" s="24">
        <f t="shared" si="33"/>
        <v>0</v>
      </c>
      <c r="L116" s="24">
        <f t="shared" si="33"/>
        <v>5</v>
      </c>
      <c r="M116" s="24">
        <f t="shared" si="33"/>
        <v>12</v>
      </c>
      <c r="N116" s="24">
        <f t="shared" si="33"/>
        <v>0</v>
      </c>
      <c r="O116" s="24">
        <f t="shared" si="33"/>
        <v>22</v>
      </c>
      <c r="P116" s="24">
        <f>SUM(J116:O116)</f>
        <v>46</v>
      </c>
      <c r="Q116" s="24">
        <f>SUM(Q114:Q115)</f>
        <v>20</v>
      </c>
      <c r="R116" s="24">
        <f>SUM(R114:R115)</f>
        <v>118</v>
      </c>
      <c r="S116" s="24">
        <f>SUM(S114:S115)</f>
        <v>0</v>
      </c>
      <c r="T116" s="24">
        <f>SUM(T114:T115)</f>
        <v>0</v>
      </c>
      <c r="U116" s="24">
        <f>SUM(U114:U115)</f>
        <v>110</v>
      </c>
      <c r="V116" s="26">
        <f>IF(I116-Q116=0,"",IF(D116="",(P116+S116)/(I116-Q116),IF(AND(D116&lt;&gt;"",(P116+S116)/(I116-Q116)&gt;=50%),(P116+S116)/(I116-Q116),"")))</f>
        <v>0.2804878048780488</v>
      </c>
      <c r="W116" s="26">
        <f>IF(I116=O116,"",IF(V116="",0,(P116+Q116+S116-O116)/(I116-O116)))</f>
        <v>0.2716049382716049</v>
      </c>
      <c r="X116" s="30"/>
      <c r="Y116" s="30"/>
      <c r="Z116" s="30"/>
      <c r="AA116" s="30"/>
      <c r="AB116" s="34"/>
      <c r="AC116" s="30"/>
      <c r="AD116" s="30"/>
      <c r="AE116" s="30"/>
      <c r="AF116" s="30"/>
      <c r="AG116" s="30"/>
      <c r="AH116" s="30"/>
      <c r="AI116" s="30"/>
      <c r="AJ116" s="30"/>
      <c r="AK116" s="30"/>
      <c r="AL116" s="30"/>
      <c r="AM116" s="30"/>
      <c r="AN116" s="30"/>
      <c r="AO116" s="30"/>
    </row>
    <row r="117" spans="1:41" s="39" customFormat="1" ht="21.75" customHeight="1">
      <c r="A117" s="32"/>
      <c r="B117" s="138" t="s">
        <v>57</v>
      </c>
      <c r="C117" s="105" t="s">
        <v>193</v>
      </c>
      <c r="D117" s="102"/>
      <c r="E117" s="23" t="s">
        <v>27</v>
      </c>
      <c r="F117" s="23"/>
      <c r="G117" s="23"/>
      <c r="H117" s="23"/>
      <c r="I117" s="40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6"/>
      <c r="W117" s="26"/>
      <c r="X117" s="30"/>
      <c r="Y117" s="30"/>
      <c r="Z117" s="30"/>
      <c r="AA117" s="30"/>
      <c r="AB117" s="34"/>
      <c r="AC117" s="30"/>
      <c r="AD117" s="30"/>
      <c r="AE117" s="30"/>
      <c r="AF117" s="30"/>
      <c r="AG117" s="30"/>
      <c r="AH117" s="30"/>
      <c r="AI117" s="30"/>
      <c r="AJ117" s="30"/>
      <c r="AK117" s="30"/>
      <c r="AL117" s="30"/>
      <c r="AM117" s="30"/>
      <c r="AN117" s="30"/>
      <c r="AO117" s="30"/>
    </row>
    <row r="118" spans="1:41" s="39" customFormat="1" ht="21" customHeight="1">
      <c r="A118" s="32">
        <v>54</v>
      </c>
      <c r="B118" s="139"/>
      <c r="C118" s="106" t="str">
        <f>IF(A118="","VARA",VLOOKUP(A118,'[1]varas'!$A$4:$B$67,2))</f>
        <v>1ª VT Palmares</v>
      </c>
      <c r="D118" s="15"/>
      <c r="E118" s="16"/>
      <c r="F118" s="15">
        <v>8</v>
      </c>
      <c r="G118" s="15">
        <v>0</v>
      </c>
      <c r="H118" s="15">
        <v>0</v>
      </c>
      <c r="I118" s="17">
        <f aca="true" t="shared" si="34" ref="I118:I126">SUM(F118:H118)</f>
        <v>8</v>
      </c>
      <c r="J118" s="15">
        <v>0</v>
      </c>
      <c r="K118" s="15">
        <v>1</v>
      </c>
      <c r="L118" s="15">
        <v>1</v>
      </c>
      <c r="M118" s="15">
        <v>0</v>
      </c>
      <c r="N118" s="15">
        <v>0</v>
      </c>
      <c r="O118" s="15">
        <v>0</v>
      </c>
      <c r="P118" s="15">
        <f aca="true" t="shared" si="35" ref="P118:P126">SUM(J118:O118)</f>
        <v>2</v>
      </c>
      <c r="Q118" s="15">
        <v>6</v>
      </c>
      <c r="R118" s="15">
        <v>0</v>
      </c>
      <c r="S118" s="15">
        <v>0</v>
      </c>
      <c r="T118" s="15">
        <v>0</v>
      </c>
      <c r="U118" s="15">
        <v>34</v>
      </c>
      <c r="V118" s="18"/>
      <c r="W118" s="18"/>
      <c r="X118" s="30"/>
      <c r="Y118" s="30"/>
      <c r="Z118" s="30"/>
      <c r="AA118" s="30"/>
      <c r="AB118" s="34"/>
      <c r="AC118" s="30"/>
      <c r="AD118" s="30"/>
      <c r="AE118" s="30"/>
      <c r="AF118" s="30"/>
      <c r="AG118" s="30"/>
      <c r="AH118" s="30"/>
      <c r="AI118" s="30"/>
      <c r="AJ118" s="30"/>
      <c r="AK118" s="30"/>
      <c r="AL118" s="30"/>
      <c r="AM118" s="30"/>
      <c r="AN118" s="30"/>
      <c r="AO118" s="30"/>
    </row>
    <row r="119" spans="1:41" s="39" customFormat="1" ht="21" customHeight="1">
      <c r="A119" s="32">
        <v>69</v>
      </c>
      <c r="B119" s="139"/>
      <c r="C119" s="106" t="s">
        <v>175</v>
      </c>
      <c r="D119" s="15"/>
      <c r="E119" s="16"/>
      <c r="F119" s="15">
        <v>7</v>
      </c>
      <c r="G119" s="15">
        <v>0</v>
      </c>
      <c r="H119" s="15">
        <v>0</v>
      </c>
      <c r="I119" s="17">
        <f t="shared" si="34"/>
        <v>7</v>
      </c>
      <c r="J119" s="15">
        <v>0</v>
      </c>
      <c r="K119" s="15">
        <v>1</v>
      </c>
      <c r="L119" s="15">
        <v>0</v>
      </c>
      <c r="M119" s="15">
        <v>0</v>
      </c>
      <c r="N119" s="15">
        <v>0</v>
      </c>
      <c r="O119" s="15">
        <v>1</v>
      </c>
      <c r="P119" s="15">
        <f t="shared" si="35"/>
        <v>2</v>
      </c>
      <c r="Q119" s="15">
        <v>5</v>
      </c>
      <c r="R119" s="15">
        <v>0</v>
      </c>
      <c r="S119" s="15">
        <v>0</v>
      </c>
      <c r="T119" s="15">
        <v>0</v>
      </c>
      <c r="U119" s="15">
        <v>1</v>
      </c>
      <c r="V119" s="18"/>
      <c r="W119" s="18"/>
      <c r="X119" s="30"/>
      <c r="Y119" s="30"/>
      <c r="Z119" s="30"/>
      <c r="AA119" s="30"/>
      <c r="AB119" s="34"/>
      <c r="AC119" s="30"/>
      <c r="AD119" s="30"/>
      <c r="AE119" s="30"/>
      <c r="AF119" s="30"/>
      <c r="AG119" s="30"/>
      <c r="AH119" s="30"/>
      <c r="AI119" s="30"/>
      <c r="AJ119" s="30"/>
      <c r="AK119" s="30"/>
      <c r="AL119" s="30"/>
      <c r="AM119" s="30"/>
      <c r="AN119" s="30"/>
      <c r="AO119" s="30"/>
    </row>
    <row r="120" spans="1:41" s="39" customFormat="1" ht="21" customHeight="1">
      <c r="A120" s="32">
        <v>42</v>
      </c>
      <c r="B120" s="139"/>
      <c r="C120" s="106" t="str">
        <f>IF(A120="","VARA",VLOOKUP(A120,'[1]varas'!$A$4:$B$67,2))</f>
        <v>2ª VT Paulista</v>
      </c>
      <c r="D120" s="15"/>
      <c r="E120" s="16"/>
      <c r="F120" s="15">
        <f>9+22+1</f>
        <v>32</v>
      </c>
      <c r="G120" s="15">
        <v>0</v>
      </c>
      <c r="H120" s="15">
        <v>0</v>
      </c>
      <c r="I120" s="17">
        <f t="shared" si="34"/>
        <v>32</v>
      </c>
      <c r="J120" s="15">
        <v>0</v>
      </c>
      <c r="K120" s="15">
        <v>2</v>
      </c>
      <c r="L120" s="15">
        <v>1</v>
      </c>
      <c r="M120" s="15">
        <v>0</v>
      </c>
      <c r="N120" s="15">
        <v>0</v>
      </c>
      <c r="O120" s="15">
        <v>22</v>
      </c>
      <c r="P120" s="15">
        <f t="shared" si="35"/>
        <v>25</v>
      </c>
      <c r="Q120" s="15">
        <v>7</v>
      </c>
      <c r="R120" s="15">
        <v>0</v>
      </c>
      <c r="S120" s="15">
        <v>0</v>
      </c>
      <c r="T120" s="15">
        <v>0</v>
      </c>
      <c r="U120" s="15">
        <v>70</v>
      </c>
      <c r="V120" s="18"/>
      <c r="W120" s="18"/>
      <c r="X120" s="30"/>
      <c r="Y120" s="30"/>
      <c r="Z120" s="30"/>
      <c r="AA120" s="30"/>
      <c r="AB120" s="34"/>
      <c r="AC120" s="30"/>
      <c r="AD120" s="30"/>
      <c r="AE120" s="30"/>
      <c r="AF120" s="30"/>
      <c r="AG120" s="30"/>
      <c r="AH120" s="30"/>
      <c r="AI120" s="30"/>
      <c r="AJ120" s="30"/>
      <c r="AK120" s="30"/>
      <c r="AL120" s="30"/>
      <c r="AM120" s="30"/>
      <c r="AN120" s="30"/>
      <c r="AO120" s="30"/>
    </row>
    <row r="121" spans="1:41" s="39" customFormat="1" ht="21" customHeight="1">
      <c r="A121" s="32">
        <v>66</v>
      </c>
      <c r="B121" s="139"/>
      <c r="C121" s="106" t="s">
        <v>161</v>
      </c>
      <c r="D121" s="15"/>
      <c r="E121" s="16"/>
      <c r="F121" s="15">
        <v>28</v>
      </c>
      <c r="G121" s="15">
        <v>0</v>
      </c>
      <c r="H121" s="15">
        <v>12</v>
      </c>
      <c r="I121" s="17">
        <f t="shared" si="34"/>
        <v>40</v>
      </c>
      <c r="J121" s="15">
        <v>21</v>
      </c>
      <c r="K121" s="15">
        <v>9</v>
      </c>
      <c r="L121" s="15">
        <v>0</v>
      </c>
      <c r="M121" s="15">
        <v>0</v>
      </c>
      <c r="N121" s="15">
        <v>0</v>
      </c>
      <c r="O121" s="15">
        <v>10</v>
      </c>
      <c r="P121" s="15">
        <f t="shared" si="35"/>
        <v>40</v>
      </c>
      <c r="Q121" s="15">
        <v>0</v>
      </c>
      <c r="R121" s="15">
        <v>0</v>
      </c>
      <c r="S121" s="15">
        <v>0</v>
      </c>
      <c r="T121" s="15">
        <v>0</v>
      </c>
      <c r="U121" s="15">
        <v>54</v>
      </c>
      <c r="V121" s="18"/>
      <c r="W121" s="18"/>
      <c r="X121" s="30"/>
      <c r="Y121" s="30"/>
      <c r="Z121" s="30"/>
      <c r="AA121" s="30"/>
      <c r="AB121" s="34"/>
      <c r="AC121" s="30"/>
      <c r="AD121" s="30"/>
      <c r="AE121" s="30"/>
      <c r="AF121" s="30"/>
      <c r="AG121" s="30"/>
      <c r="AH121" s="30"/>
      <c r="AI121" s="30"/>
      <c r="AJ121" s="30"/>
      <c r="AK121" s="30"/>
      <c r="AL121" s="30"/>
      <c r="AM121" s="30"/>
      <c r="AN121" s="30"/>
      <c r="AO121" s="30"/>
    </row>
    <row r="122" spans="1:41" s="39" customFormat="1" ht="21" customHeight="1">
      <c r="A122" s="32">
        <v>50</v>
      </c>
      <c r="B122" s="139"/>
      <c r="C122" s="106" t="str">
        <f>IF(A122="","VARA",VLOOKUP(A122,'[1]varas'!$A$4:$B$67,2))</f>
        <v>VT Garanhuns</v>
      </c>
      <c r="D122" s="15"/>
      <c r="E122" s="16"/>
      <c r="F122" s="15">
        <v>0</v>
      </c>
      <c r="G122" s="15">
        <v>2</v>
      </c>
      <c r="H122" s="15">
        <v>0</v>
      </c>
      <c r="I122" s="17">
        <f t="shared" si="34"/>
        <v>2</v>
      </c>
      <c r="J122" s="15">
        <v>2</v>
      </c>
      <c r="K122" s="15">
        <v>0</v>
      </c>
      <c r="L122" s="15">
        <v>0</v>
      </c>
      <c r="M122" s="15">
        <v>0</v>
      </c>
      <c r="N122" s="15">
        <v>0</v>
      </c>
      <c r="O122" s="15">
        <v>0</v>
      </c>
      <c r="P122" s="15">
        <f t="shared" si="35"/>
        <v>2</v>
      </c>
      <c r="Q122" s="15">
        <v>0</v>
      </c>
      <c r="R122" s="15">
        <v>0</v>
      </c>
      <c r="S122" s="15">
        <v>0</v>
      </c>
      <c r="T122" s="15">
        <v>0</v>
      </c>
      <c r="U122" s="15">
        <v>0</v>
      </c>
      <c r="V122" s="18"/>
      <c r="W122" s="18"/>
      <c r="X122" s="30"/>
      <c r="Y122" s="30"/>
      <c r="Z122" s="30"/>
      <c r="AA122" s="30"/>
      <c r="AB122" s="34"/>
      <c r="AC122" s="30"/>
      <c r="AD122" s="30"/>
      <c r="AE122" s="30"/>
      <c r="AF122" s="30"/>
      <c r="AG122" s="30"/>
      <c r="AH122" s="30"/>
      <c r="AI122" s="30"/>
      <c r="AJ122" s="30"/>
      <c r="AK122" s="30"/>
      <c r="AL122" s="30"/>
      <c r="AM122" s="30"/>
      <c r="AN122" s="30"/>
      <c r="AO122" s="30"/>
    </row>
    <row r="123" spans="1:41" s="39" customFormat="1" ht="21" customHeight="1">
      <c r="A123" s="32">
        <v>61</v>
      </c>
      <c r="B123" s="139"/>
      <c r="C123" s="106" t="str">
        <f>IF(A123="","VARA",VLOOKUP(A123,'[1]varas'!$A$4:$B$67,2))</f>
        <v>VT Vitória</v>
      </c>
      <c r="D123" s="15"/>
      <c r="E123" s="16"/>
      <c r="F123" s="15">
        <v>1</v>
      </c>
      <c r="G123" s="15">
        <v>0</v>
      </c>
      <c r="H123" s="15">
        <v>0</v>
      </c>
      <c r="I123" s="17">
        <f t="shared" si="34"/>
        <v>1</v>
      </c>
      <c r="J123" s="15">
        <v>0</v>
      </c>
      <c r="K123" s="15">
        <v>0</v>
      </c>
      <c r="L123" s="15">
        <v>0</v>
      </c>
      <c r="M123" s="15">
        <v>1</v>
      </c>
      <c r="N123" s="15">
        <v>0</v>
      </c>
      <c r="O123" s="15">
        <v>0</v>
      </c>
      <c r="P123" s="15">
        <f t="shared" si="35"/>
        <v>1</v>
      </c>
      <c r="Q123" s="15">
        <v>0</v>
      </c>
      <c r="R123" s="15">
        <v>0</v>
      </c>
      <c r="S123" s="15">
        <v>0</v>
      </c>
      <c r="T123" s="15">
        <v>0</v>
      </c>
      <c r="U123" s="15">
        <v>0</v>
      </c>
      <c r="V123" s="18"/>
      <c r="W123" s="18"/>
      <c r="X123" s="30"/>
      <c r="Y123" s="30"/>
      <c r="Z123" s="30"/>
      <c r="AA123" s="30"/>
      <c r="AB123" s="34"/>
      <c r="AC123" s="30"/>
      <c r="AD123" s="30"/>
      <c r="AE123" s="30"/>
      <c r="AF123" s="30"/>
      <c r="AG123" s="30"/>
      <c r="AH123" s="30"/>
      <c r="AI123" s="30"/>
      <c r="AJ123" s="30"/>
      <c r="AK123" s="30"/>
      <c r="AL123" s="30"/>
      <c r="AM123" s="30"/>
      <c r="AN123" s="30"/>
      <c r="AO123" s="30"/>
    </row>
    <row r="124" spans="1:41" s="39" customFormat="1" ht="18.75" customHeight="1">
      <c r="A124" s="32">
        <v>25</v>
      </c>
      <c r="B124" s="139"/>
      <c r="C124" s="106" t="str">
        <f>IF(A124="","VARA",VLOOKUP(A124,'[1]varas'!$A$4:$B$67,2))</f>
        <v>2ª VT Barreiros</v>
      </c>
      <c r="D124" s="15"/>
      <c r="E124" s="16"/>
      <c r="F124" s="15">
        <v>0</v>
      </c>
      <c r="G124" s="15">
        <v>0</v>
      </c>
      <c r="H124" s="15">
        <v>23</v>
      </c>
      <c r="I124" s="17">
        <f t="shared" si="34"/>
        <v>23</v>
      </c>
      <c r="J124" s="15">
        <v>16</v>
      </c>
      <c r="K124" s="15">
        <v>0</v>
      </c>
      <c r="L124" s="15">
        <v>0</v>
      </c>
      <c r="M124" s="15">
        <v>0</v>
      </c>
      <c r="N124" s="15">
        <v>0</v>
      </c>
      <c r="O124" s="15">
        <v>0</v>
      </c>
      <c r="P124" s="15">
        <f t="shared" si="35"/>
        <v>16</v>
      </c>
      <c r="Q124" s="15">
        <v>0</v>
      </c>
      <c r="R124" s="15">
        <v>7</v>
      </c>
      <c r="S124" s="15">
        <v>0</v>
      </c>
      <c r="T124" s="15">
        <v>0</v>
      </c>
      <c r="U124" s="15">
        <v>0</v>
      </c>
      <c r="V124" s="18"/>
      <c r="W124" s="18"/>
      <c r="X124" s="30"/>
      <c r="Y124" s="30"/>
      <c r="Z124" s="30"/>
      <c r="AA124" s="30"/>
      <c r="AB124" s="34"/>
      <c r="AC124" s="30"/>
      <c r="AD124" s="30"/>
      <c r="AE124" s="30"/>
      <c r="AF124" s="30"/>
      <c r="AG124" s="30"/>
      <c r="AH124" s="30"/>
      <c r="AI124" s="30"/>
      <c r="AJ124" s="30"/>
      <c r="AK124" s="30"/>
      <c r="AL124" s="30"/>
      <c r="AM124" s="30"/>
      <c r="AN124" s="30"/>
      <c r="AO124" s="30"/>
    </row>
    <row r="125" spans="1:41" s="39" customFormat="1" ht="22.5" customHeight="1">
      <c r="A125" s="32">
        <v>68</v>
      </c>
      <c r="B125" s="139"/>
      <c r="C125" s="106" t="s">
        <v>171</v>
      </c>
      <c r="D125" s="15"/>
      <c r="E125" s="16"/>
      <c r="F125" s="15">
        <v>0</v>
      </c>
      <c r="G125" s="15">
        <v>0</v>
      </c>
      <c r="H125" s="15">
        <v>3</v>
      </c>
      <c r="I125" s="17">
        <f t="shared" si="34"/>
        <v>3</v>
      </c>
      <c r="J125" s="15">
        <v>3</v>
      </c>
      <c r="K125" s="15">
        <v>0</v>
      </c>
      <c r="L125" s="15">
        <v>0</v>
      </c>
      <c r="M125" s="15">
        <v>0</v>
      </c>
      <c r="N125" s="15">
        <v>0</v>
      </c>
      <c r="O125" s="15">
        <v>0</v>
      </c>
      <c r="P125" s="15">
        <f t="shared" si="35"/>
        <v>3</v>
      </c>
      <c r="Q125" s="15">
        <v>0</v>
      </c>
      <c r="R125" s="15">
        <v>0</v>
      </c>
      <c r="S125" s="15">
        <v>0</v>
      </c>
      <c r="T125" s="15">
        <v>0</v>
      </c>
      <c r="U125" s="15">
        <v>0</v>
      </c>
      <c r="V125" s="18"/>
      <c r="W125" s="18"/>
      <c r="X125" s="30"/>
      <c r="Y125" s="30"/>
      <c r="Z125" s="30"/>
      <c r="AA125" s="30"/>
      <c r="AB125" s="34"/>
      <c r="AC125" s="30"/>
      <c r="AD125" s="30"/>
      <c r="AE125" s="30"/>
      <c r="AF125" s="30"/>
      <c r="AG125" s="30"/>
      <c r="AH125" s="30"/>
      <c r="AI125" s="30"/>
      <c r="AJ125" s="30"/>
      <c r="AK125" s="30"/>
      <c r="AL125" s="30"/>
      <c r="AM125" s="30"/>
      <c r="AN125" s="30"/>
      <c r="AO125" s="30"/>
    </row>
    <row r="126" spans="1:41" s="39" customFormat="1" ht="25.5" customHeight="1">
      <c r="A126" s="32"/>
      <c r="B126" s="134"/>
      <c r="C126" s="107" t="s">
        <v>12</v>
      </c>
      <c r="D126" s="33"/>
      <c r="E126" s="23"/>
      <c r="F126" s="24">
        <f>SUM(F117:F125)</f>
        <v>76</v>
      </c>
      <c r="G126" s="24">
        <f>SUM(G117:G125)</f>
        <v>2</v>
      </c>
      <c r="H126" s="24">
        <f>SUM(H117:H125)</f>
        <v>38</v>
      </c>
      <c r="I126" s="25">
        <f t="shared" si="34"/>
        <v>116</v>
      </c>
      <c r="J126" s="24">
        <f aca="true" t="shared" si="36" ref="J126:O126">SUM(J117:J125)</f>
        <v>42</v>
      </c>
      <c r="K126" s="24">
        <f t="shared" si="36"/>
        <v>13</v>
      </c>
      <c r="L126" s="24">
        <f t="shared" si="36"/>
        <v>2</v>
      </c>
      <c r="M126" s="24">
        <f t="shared" si="36"/>
        <v>1</v>
      </c>
      <c r="N126" s="24">
        <f t="shared" si="36"/>
        <v>0</v>
      </c>
      <c r="O126" s="24">
        <f t="shared" si="36"/>
        <v>33</v>
      </c>
      <c r="P126" s="24">
        <f t="shared" si="35"/>
        <v>91</v>
      </c>
      <c r="Q126" s="24">
        <f>SUM(Q117:Q125)</f>
        <v>18</v>
      </c>
      <c r="R126" s="24">
        <f>SUM(R117:R125)</f>
        <v>7</v>
      </c>
      <c r="S126" s="24">
        <f>SUM(S117:S125)</f>
        <v>0</v>
      </c>
      <c r="T126" s="24">
        <f>SUM(T117:T125)</f>
        <v>0</v>
      </c>
      <c r="U126" s="24">
        <f>SUM(U117:U125)</f>
        <v>159</v>
      </c>
      <c r="V126" s="26">
        <f>IF(I126-Q126=0,"",IF(D126="",(P126+S126)/(I126-Q126),IF(AND(D126&lt;&gt;"",(P126+S126)/(I126-Q126)&gt;=50%),(P126+S126)/(I126-Q126),"")))</f>
        <v>0.9285714285714286</v>
      </c>
      <c r="W126" s="26">
        <f>IF(I126=O126,"",IF(V126="",0,(P126+Q126+S126-O126)/(I126-O126)))</f>
        <v>0.9156626506024096</v>
      </c>
      <c r="X126" s="30"/>
      <c r="Y126" s="30"/>
      <c r="Z126" s="30"/>
      <c r="AA126" s="30"/>
      <c r="AB126" s="34"/>
      <c r="AC126" s="30"/>
      <c r="AD126" s="30"/>
      <c r="AE126" s="30"/>
      <c r="AF126" s="30"/>
      <c r="AG126" s="30"/>
      <c r="AH126" s="30"/>
      <c r="AI126" s="30"/>
      <c r="AJ126" s="30"/>
      <c r="AK126" s="30"/>
      <c r="AL126" s="30"/>
      <c r="AM126" s="30"/>
      <c r="AN126" s="30"/>
      <c r="AO126" s="30"/>
    </row>
    <row r="127" spans="1:41" s="39" customFormat="1" ht="27" customHeight="1">
      <c r="A127" s="32"/>
      <c r="B127" s="140" t="s">
        <v>195</v>
      </c>
      <c r="C127" s="89" t="s">
        <v>156</v>
      </c>
      <c r="D127" s="90"/>
      <c r="E127" s="91" t="s">
        <v>27</v>
      </c>
      <c r="F127" s="92"/>
      <c r="G127" s="92"/>
      <c r="H127" s="92"/>
      <c r="I127" s="93"/>
      <c r="J127" s="92"/>
      <c r="K127" s="92"/>
      <c r="L127" s="92"/>
      <c r="M127" s="92"/>
      <c r="N127" s="92"/>
      <c r="O127" s="92"/>
      <c r="P127" s="92"/>
      <c r="Q127" s="92"/>
      <c r="R127" s="92"/>
      <c r="S127" s="92"/>
      <c r="T127" s="92"/>
      <c r="U127" s="92"/>
      <c r="V127" s="94"/>
      <c r="W127" s="94"/>
      <c r="X127" s="30"/>
      <c r="Y127" s="30"/>
      <c r="Z127" s="30"/>
      <c r="AA127" s="30"/>
      <c r="AB127" s="34"/>
      <c r="AC127" s="30"/>
      <c r="AD127" s="30"/>
      <c r="AE127" s="30"/>
      <c r="AF127" s="30"/>
      <c r="AG127" s="30"/>
      <c r="AH127" s="30"/>
      <c r="AI127" s="30"/>
      <c r="AJ127" s="30"/>
      <c r="AK127" s="30"/>
      <c r="AL127" s="30"/>
      <c r="AM127" s="30"/>
      <c r="AN127" s="30"/>
      <c r="AO127" s="30"/>
    </row>
    <row r="128" spans="1:41" s="39" customFormat="1" ht="27" customHeight="1">
      <c r="A128" s="32">
        <v>11</v>
      </c>
      <c r="B128" s="140"/>
      <c r="C128" s="115" t="str">
        <f>IF(A128="","VARA",VLOOKUP(A128,'[1]varas'!$A$4:$B$67,2))</f>
        <v>11ª VT Recife</v>
      </c>
      <c r="D128" s="90"/>
      <c r="E128" s="91"/>
      <c r="F128" s="92">
        <f>28+26+15</f>
        <v>69</v>
      </c>
      <c r="G128" s="92">
        <v>0</v>
      </c>
      <c r="H128" s="92">
        <v>0</v>
      </c>
      <c r="I128" s="93">
        <f>SUM(F128:H128)</f>
        <v>69</v>
      </c>
      <c r="J128" s="92">
        <v>2</v>
      </c>
      <c r="K128" s="92">
        <v>9</v>
      </c>
      <c r="L128" s="92">
        <v>8</v>
      </c>
      <c r="M128" s="92">
        <v>0</v>
      </c>
      <c r="N128" s="92">
        <v>1</v>
      </c>
      <c r="O128" s="92">
        <v>26</v>
      </c>
      <c r="P128" s="92">
        <f>SUM(J128:O128)</f>
        <v>46</v>
      </c>
      <c r="Q128" s="92">
        <v>23</v>
      </c>
      <c r="R128" s="92">
        <v>0</v>
      </c>
      <c r="S128" s="92">
        <v>0</v>
      </c>
      <c r="T128" s="92">
        <v>0</v>
      </c>
      <c r="U128" s="92">
        <v>130</v>
      </c>
      <c r="V128" s="94"/>
      <c r="W128" s="94"/>
      <c r="X128" s="30"/>
      <c r="Y128" s="30"/>
      <c r="Z128" s="30"/>
      <c r="AA128" s="30"/>
      <c r="AB128" s="34"/>
      <c r="AC128" s="30"/>
      <c r="AD128" s="30"/>
      <c r="AE128" s="30"/>
      <c r="AF128" s="30"/>
      <c r="AG128" s="30"/>
      <c r="AH128" s="30"/>
      <c r="AI128" s="30"/>
      <c r="AJ128" s="30"/>
      <c r="AK128" s="30"/>
      <c r="AL128" s="30"/>
      <c r="AM128" s="30"/>
      <c r="AN128" s="30"/>
      <c r="AO128" s="30"/>
    </row>
    <row r="129" spans="1:41" s="39" customFormat="1" ht="20.25" customHeight="1">
      <c r="A129" s="32">
        <v>54</v>
      </c>
      <c r="B129" s="140"/>
      <c r="C129" s="115" t="str">
        <f>IF(A129="","VARA",VLOOKUP(A129,'[1]varas'!$A$4:$B$67,2))</f>
        <v>1ª VT Palmares</v>
      </c>
      <c r="D129" s="90"/>
      <c r="E129" s="91"/>
      <c r="F129" s="92">
        <v>4</v>
      </c>
      <c r="G129" s="92">
        <v>0</v>
      </c>
      <c r="H129" s="92">
        <v>0</v>
      </c>
      <c r="I129" s="93">
        <f>SUM(F129:H129)</f>
        <v>4</v>
      </c>
      <c r="J129" s="92">
        <v>0</v>
      </c>
      <c r="K129" s="92">
        <v>0</v>
      </c>
      <c r="L129" s="92">
        <v>4</v>
      </c>
      <c r="M129" s="92">
        <v>0</v>
      </c>
      <c r="N129" s="92">
        <v>0</v>
      </c>
      <c r="O129" s="92">
        <v>0</v>
      </c>
      <c r="P129" s="92">
        <f>SUM(J129:O129)</f>
        <v>4</v>
      </c>
      <c r="Q129" s="92">
        <v>0</v>
      </c>
      <c r="R129" s="92">
        <v>0</v>
      </c>
      <c r="S129" s="92">
        <v>0</v>
      </c>
      <c r="T129" s="92">
        <v>0</v>
      </c>
      <c r="U129" s="92">
        <v>0</v>
      </c>
      <c r="V129" s="94"/>
      <c r="W129" s="94"/>
      <c r="X129" s="30"/>
      <c r="Y129" s="30"/>
      <c r="Z129" s="30"/>
      <c r="AA129" s="30"/>
      <c r="AB129" s="34"/>
      <c r="AC129" s="30"/>
      <c r="AD129" s="30"/>
      <c r="AE129" s="30"/>
      <c r="AF129" s="30"/>
      <c r="AG129" s="30"/>
      <c r="AH129" s="30"/>
      <c r="AI129" s="30"/>
      <c r="AJ129" s="30"/>
      <c r="AK129" s="30"/>
      <c r="AL129" s="30"/>
      <c r="AM129" s="30"/>
      <c r="AN129" s="30"/>
      <c r="AO129" s="30"/>
    </row>
    <row r="130" spans="1:41" s="39" customFormat="1" ht="20.25" customHeight="1">
      <c r="A130" s="32">
        <v>69</v>
      </c>
      <c r="B130" s="140"/>
      <c r="C130" s="115" t="s">
        <v>175</v>
      </c>
      <c r="D130" s="90"/>
      <c r="E130" s="91"/>
      <c r="F130" s="92">
        <f>28+14+2</f>
        <v>44</v>
      </c>
      <c r="G130" s="92">
        <v>17</v>
      </c>
      <c r="H130" s="92">
        <v>0</v>
      </c>
      <c r="I130" s="93">
        <f>SUM(F130:H130)</f>
        <v>61</v>
      </c>
      <c r="J130" s="92">
        <v>36</v>
      </c>
      <c r="K130" s="92">
        <v>9</v>
      </c>
      <c r="L130" s="92">
        <v>2</v>
      </c>
      <c r="M130" s="92">
        <v>0</v>
      </c>
      <c r="N130" s="92">
        <v>0</v>
      </c>
      <c r="O130" s="92">
        <v>14</v>
      </c>
      <c r="P130" s="92">
        <f>SUM(J130:O130)</f>
        <v>61</v>
      </c>
      <c r="Q130" s="92">
        <v>0</v>
      </c>
      <c r="R130" s="92">
        <v>0</v>
      </c>
      <c r="S130" s="92">
        <v>0</v>
      </c>
      <c r="T130" s="92">
        <v>0</v>
      </c>
      <c r="U130" s="92">
        <v>77</v>
      </c>
      <c r="V130" s="94"/>
      <c r="W130" s="94"/>
      <c r="X130" s="30"/>
      <c r="Y130" s="30"/>
      <c r="Z130" s="30"/>
      <c r="AA130" s="30"/>
      <c r="AB130" s="34"/>
      <c r="AC130" s="30"/>
      <c r="AD130" s="30"/>
      <c r="AE130" s="30"/>
      <c r="AF130" s="30"/>
      <c r="AG130" s="30"/>
      <c r="AH130" s="30"/>
      <c r="AI130" s="30"/>
      <c r="AJ130" s="30"/>
      <c r="AK130" s="30"/>
      <c r="AL130" s="30"/>
      <c r="AM130" s="30"/>
      <c r="AN130" s="30"/>
      <c r="AO130" s="30"/>
    </row>
    <row r="131" spans="1:41" s="39" customFormat="1" ht="20.25" customHeight="1">
      <c r="A131" s="32"/>
      <c r="B131" s="140"/>
      <c r="C131" s="96" t="s">
        <v>12</v>
      </c>
      <c r="D131" s="97"/>
      <c r="E131" s="98"/>
      <c r="F131" s="99">
        <f>SUM(F127:F130)</f>
        <v>117</v>
      </c>
      <c r="G131" s="99">
        <f>SUM(G127:G130)</f>
        <v>17</v>
      </c>
      <c r="H131" s="99">
        <f>SUM(H127:H130)</f>
        <v>0</v>
      </c>
      <c r="I131" s="100">
        <f>SUM(F131:H131)</f>
        <v>134</v>
      </c>
      <c r="J131" s="99">
        <f aca="true" t="shared" si="37" ref="J131:O131">SUM(J127:J130)</f>
        <v>38</v>
      </c>
      <c r="K131" s="99">
        <f t="shared" si="37"/>
        <v>18</v>
      </c>
      <c r="L131" s="99">
        <f t="shared" si="37"/>
        <v>14</v>
      </c>
      <c r="M131" s="99">
        <f t="shared" si="37"/>
        <v>0</v>
      </c>
      <c r="N131" s="99">
        <f t="shared" si="37"/>
        <v>1</v>
      </c>
      <c r="O131" s="99">
        <f t="shared" si="37"/>
        <v>40</v>
      </c>
      <c r="P131" s="99">
        <f>SUM(J131:O131)</f>
        <v>111</v>
      </c>
      <c r="Q131" s="99">
        <f>SUM(Q127:Q130)</f>
        <v>23</v>
      </c>
      <c r="R131" s="99">
        <f>SUM(R127:R130)</f>
        <v>0</v>
      </c>
      <c r="S131" s="99">
        <f>SUM(S127:S130)</f>
        <v>0</v>
      </c>
      <c r="T131" s="99">
        <f>SUM(T127:T130)</f>
        <v>0</v>
      </c>
      <c r="U131" s="99">
        <f>SUM(U127:U130)</f>
        <v>207</v>
      </c>
      <c r="V131" s="101">
        <f>IF(I131-Q131=0,"",IF(D131="",(P131+S131)/(I131-Q131),IF(AND(D131&lt;&gt;"",(P131+S131)/(I131-Q131)&gt;=50%),(P131+S131)/(I131-Q131),"")))</f>
        <v>1</v>
      </c>
      <c r="W131" s="101">
        <f>IF(I131=O131,"",IF(V131="",0,(P131+Q131+S131-O131)/(I131-O131)))</f>
        <v>1</v>
      </c>
      <c r="X131" s="30"/>
      <c r="Y131" s="30"/>
      <c r="Z131" s="30"/>
      <c r="AA131" s="30"/>
      <c r="AB131" s="34"/>
      <c r="AC131" s="30"/>
      <c r="AD131" s="30"/>
      <c r="AE131" s="30"/>
      <c r="AF131" s="30"/>
      <c r="AG131" s="30"/>
      <c r="AH131" s="30"/>
      <c r="AI131" s="30"/>
      <c r="AJ131" s="30"/>
      <c r="AK131" s="30"/>
      <c r="AL131" s="30"/>
      <c r="AM131" s="30"/>
      <c r="AN131" s="30"/>
      <c r="AO131" s="30"/>
    </row>
    <row r="132" spans="1:41" s="39" customFormat="1" ht="25.5" customHeight="1">
      <c r="A132" s="32"/>
      <c r="B132" s="140" t="s">
        <v>155</v>
      </c>
      <c r="C132" s="89" t="s">
        <v>156</v>
      </c>
      <c r="D132" s="90"/>
      <c r="E132" s="91" t="s">
        <v>27</v>
      </c>
      <c r="F132" s="92"/>
      <c r="G132" s="92"/>
      <c r="H132" s="92"/>
      <c r="I132" s="93"/>
      <c r="J132" s="92"/>
      <c r="K132" s="92"/>
      <c r="L132" s="92"/>
      <c r="M132" s="92"/>
      <c r="N132" s="92"/>
      <c r="O132" s="92"/>
      <c r="P132" s="92"/>
      <c r="Q132" s="92"/>
      <c r="R132" s="92"/>
      <c r="S132" s="92"/>
      <c r="T132" s="92"/>
      <c r="U132" s="92"/>
      <c r="V132" s="94"/>
      <c r="W132" s="94"/>
      <c r="X132" s="30"/>
      <c r="Y132" s="30"/>
      <c r="Z132" s="30"/>
      <c r="AA132" s="30"/>
      <c r="AB132" s="34"/>
      <c r="AC132" s="30"/>
      <c r="AD132" s="30"/>
      <c r="AE132" s="30"/>
      <c r="AF132" s="30"/>
      <c r="AG132" s="30"/>
      <c r="AH132" s="30"/>
      <c r="AI132" s="30"/>
      <c r="AJ132" s="30"/>
      <c r="AK132" s="30"/>
      <c r="AL132" s="30"/>
      <c r="AM132" s="30"/>
      <c r="AN132" s="30"/>
      <c r="AO132" s="30"/>
    </row>
    <row r="133" spans="1:41" s="39" customFormat="1" ht="20.25" customHeight="1">
      <c r="A133" s="32">
        <v>24</v>
      </c>
      <c r="B133" s="140"/>
      <c r="C133" s="95" t="str">
        <f>IF(A133="","VARA",VLOOKUP(A133,'[1]varas'!$A$4:$B$67,2))</f>
        <v>1ª VT Barreiros</v>
      </c>
      <c r="D133" s="90"/>
      <c r="E133" s="91"/>
      <c r="F133" s="92">
        <v>13</v>
      </c>
      <c r="G133" s="92">
        <v>0</v>
      </c>
      <c r="H133" s="92">
        <v>0</v>
      </c>
      <c r="I133" s="93">
        <f>SUM(F133:H133)</f>
        <v>13</v>
      </c>
      <c r="J133" s="92">
        <v>5</v>
      </c>
      <c r="K133" s="92">
        <v>2</v>
      </c>
      <c r="L133" s="92">
        <v>0</v>
      </c>
      <c r="M133" s="92">
        <v>0</v>
      </c>
      <c r="N133" s="92">
        <v>0</v>
      </c>
      <c r="O133" s="92">
        <v>6</v>
      </c>
      <c r="P133" s="92">
        <f>SUM(J133:O133)</f>
        <v>13</v>
      </c>
      <c r="Q133" s="92">
        <v>0</v>
      </c>
      <c r="R133" s="92">
        <v>0</v>
      </c>
      <c r="S133" s="92">
        <v>0</v>
      </c>
      <c r="T133" s="92">
        <v>0</v>
      </c>
      <c r="U133" s="92">
        <v>18</v>
      </c>
      <c r="V133" s="94"/>
      <c r="W133" s="94"/>
      <c r="X133" s="30"/>
      <c r="Y133" s="30"/>
      <c r="Z133" s="30"/>
      <c r="AA133" s="30"/>
      <c r="AB133" s="34"/>
      <c r="AC133" s="30"/>
      <c r="AD133" s="30"/>
      <c r="AE133" s="30"/>
      <c r="AF133" s="30"/>
      <c r="AG133" s="30"/>
      <c r="AH133" s="30"/>
      <c r="AI133" s="30"/>
      <c r="AJ133" s="30"/>
      <c r="AK133" s="30"/>
      <c r="AL133" s="30"/>
      <c r="AM133" s="30"/>
      <c r="AN133" s="30"/>
      <c r="AO133" s="30"/>
    </row>
    <row r="134" spans="1:41" s="39" customFormat="1" ht="20.25" customHeight="1">
      <c r="A134" s="32">
        <v>50</v>
      </c>
      <c r="B134" s="140"/>
      <c r="C134" s="95" t="str">
        <f>IF(A134="","VARA",VLOOKUP(A134,'[1]varas'!$A$4:$B$67,2))</f>
        <v>VT Garanhuns</v>
      </c>
      <c r="D134" s="90"/>
      <c r="E134" s="91"/>
      <c r="F134" s="92">
        <f>18+41+3</f>
        <v>62</v>
      </c>
      <c r="G134" s="92">
        <v>0</v>
      </c>
      <c r="H134" s="92">
        <v>0</v>
      </c>
      <c r="I134" s="93">
        <f>SUM(F134:H134)</f>
        <v>62</v>
      </c>
      <c r="J134" s="92">
        <v>18</v>
      </c>
      <c r="K134" s="92">
        <v>0</v>
      </c>
      <c r="L134" s="92">
        <v>1</v>
      </c>
      <c r="M134" s="92">
        <v>2</v>
      </c>
      <c r="N134" s="92">
        <v>0</v>
      </c>
      <c r="O134" s="92">
        <v>41</v>
      </c>
      <c r="P134" s="92">
        <f>SUM(J134:O134)</f>
        <v>62</v>
      </c>
      <c r="Q134" s="92">
        <v>0</v>
      </c>
      <c r="R134" s="92">
        <v>0</v>
      </c>
      <c r="S134" s="92">
        <v>0</v>
      </c>
      <c r="T134" s="92">
        <v>0</v>
      </c>
      <c r="U134" s="92">
        <v>174</v>
      </c>
      <c r="V134" s="94"/>
      <c r="W134" s="94"/>
      <c r="X134" s="30"/>
      <c r="Y134" s="30"/>
      <c r="Z134" s="30"/>
      <c r="AA134" s="30"/>
      <c r="AB134" s="34"/>
      <c r="AC134" s="30"/>
      <c r="AD134" s="30"/>
      <c r="AE134" s="30"/>
      <c r="AF134" s="30"/>
      <c r="AG134" s="30"/>
      <c r="AH134" s="30"/>
      <c r="AI134" s="30"/>
      <c r="AJ134" s="30"/>
      <c r="AK134" s="30"/>
      <c r="AL134" s="30"/>
      <c r="AM134" s="30"/>
      <c r="AN134" s="30"/>
      <c r="AO134" s="30"/>
    </row>
    <row r="135" spans="1:41" s="39" customFormat="1" ht="20.25" customHeight="1">
      <c r="A135" s="32">
        <v>37</v>
      </c>
      <c r="B135" s="140"/>
      <c r="C135" s="95" t="str">
        <f>IF(A135="","VARA",VLOOKUP(A135,'[1]varas'!$A$4:$B$67,2))</f>
        <v>4ª VT Jaboatão</v>
      </c>
      <c r="D135" s="90"/>
      <c r="E135" s="91"/>
      <c r="F135" s="92">
        <v>11</v>
      </c>
      <c r="G135" s="92">
        <v>5</v>
      </c>
      <c r="H135" s="92">
        <v>0</v>
      </c>
      <c r="I135" s="93">
        <f>SUM(F135:H135)</f>
        <v>16</v>
      </c>
      <c r="J135" s="92">
        <v>11</v>
      </c>
      <c r="K135" s="92">
        <v>0</v>
      </c>
      <c r="L135" s="92">
        <v>0</v>
      </c>
      <c r="M135" s="92">
        <v>0</v>
      </c>
      <c r="N135" s="92">
        <v>0</v>
      </c>
      <c r="O135" s="92">
        <v>5</v>
      </c>
      <c r="P135" s="92">
        <f>SUM(J135:O135)</f>
        <v>16</v>
      </c>
      <c r="Q135" s="92">
        <v>0</v>
      </c>
      <c r="R135" s="92">
        <v>0</v>
      </c>
      <c r="S135" s="92">
        <v>0</v>
      </c>
      <c r="T135" s="92">
        <v>0</v>
      </c>
      <c r="U135" s="92">
        <v>18</v>
      </c>
      <c r="V135" s="94"/>
      <c r="W135" s="94"/>
      <c r="X135" s="30"/>
      <c r="Y135" s="30"/>
      <c r="Z135" s="30"/>
      <c r="AA135" s="30"/>
      <c r="AB135" s="34"/>
      <c r="AC135" s="30"/>
      <c r="AD135" s="30"/>
      <c r="AE135" s="30"/>
      <c r="AF135" s="30"/>
      <c r="AG135" s="30"/>
      <c r="AH135" s="30"/>
      <c r="AI135" s="30"/>
      <c r="AJ135" s="30"/>
      <c r="AK135" s="30"/>
      <c r="AL135" s="30"/>
      <c r="AM135" s="30"/>
      <c r="AN135" s="30"/>
      <c r="AO135" s="30"/>
    </row>
    <row r="136" spans="1:41" s="39" customFormat="1" ht="20.25" customHeight="1">
      <c r="A136" s="32">
        <v>66</v>
      </c>
      <c r="B136" s="140"/>
      <c r="C136" s="95" t="s">
        <v>161</v>
      </c>
      <c r="D136" s="90"/>
      <c r="E136" s="91"/>
      <c r="F136" s="92">
        <v>10</v>
      </c>
      <c r="G136" s="92">
        <v>0</v>
      </c>
      <c r="H136" s="92">
        <v>0</v>
      </c>
      <c r="I136" s="93">
        <f>SUM(F136:H136)</f>
        <v>10</v>
      </c>
      <c r="J136" s="92">
        <v>0</v>
      </c>
      <c r="K136" s="92">
        <v>1</v>
      </c>
      <c r="L136" s="92">
        <v>0</v>
      </c>
      <c r="M136" s="92">
        <v>2</v>
      </c>
      <c r="N136" s="92">
        <v>0</v>
      </c>
      <c r="O136" s="92">
        <v>7</v>
      </c>
      <c r="P136" s="92">
        <f>SUM(J136:O136)</f>
        <v>10</v>
      </c>
      <c r="Q136" s="92">
        <v>0</v>
      </c>
      <c r="R136" s="92">
        <v>0</v>
      </c>
      <c r="S136" s="92">
        <v>0</v>
      </c>
      <c r="T136" s="92">
        <v>0</v>
      </c>
      <c r="U136" s="92">
        <v>22</v>
      </c>
      <c r="V136" s="94"/>
      <c r="W136" s="94"/>
      <c r="X136" s="30"/>
      <c r="Y136" s="30"/>
      <c r="Z136" s="30"/>
      <c r="AA136" s="30"/>
      <c r="AB136" s="34"/>
      <c r="AC136" s="30"/>
      <c r="AD136" s="30"/>
      <c r="AE136" s="30"/>
      <c r="AF136" s="30"/>
      <c r="AG136" s="30"/>
      <c r="AH136" s="30"/>
      <c r="AI136" s="30"/>
      <c r="AJ136" s="30"/>
      <c r="AK136" s="30"/>
      <c r="AL136" s="30"/>
      <c r="AM136" s="30"/>
      <c r="AN136" s="30"/>
      <c r="AO136" s="30"/>
    </row>
    <row r="137" spans="1:41" s="39" customFormat="1" ht="23.25" customHeight="1">
      <c r="A137" s="32"/>
      <c r="B137" s="141"/>
      <c r="C137" s="96" t="s">
        <v>12</v>
      </c>
      <c r="D137" s="97"/>
      <c r="E137" s="98"/>
      <c r="F137" s="99">
        <f>SUM(F132:F136)</f>
        <v>96</v>
      </c>
      <c r="G137" s="99">
        <f>SUM(G132:G136)</f>
        <v>5</v>
      </c>
      <c r="H137" s="99">
        <f>SUM(H132:H136)</f>
        <v>0</v>
      </c>
      <c r="I137" s="100">
        <f>SUM(F137:H137)</f>
        <v>101</v>
      </c>
      <c r="J137" s="99">
        <f aca="true" t="shared" si="38" ref="J137:O137">SUM(J132:J136)</f>
        <v>34</v>
      </c>
      <c r="K137" s="99">
        <f t="shared" si="38"/>
        <v>3</v>
      </c>
      <c r="L137" s="99">
        <f t="shared" si="38"/>
        <v>1</v>
      </c>
      <c r="M137" s="99">
        <f t="shared" si="38"/>
        <v>4</v>
      </c>
      <c r="N137" s="99">
        <f t="shared" si="38"/>
        <v>0</v>
      </c>
      <c r="O137" s="99">
        <f t="shared" si="38"/>
        <v>59</v>
      </c>
      <c r="P137" s="99">
        <f>SUM(J137:O137)</f>
        <v>101</v>
      </c>
      <c r="Q137" s="99">
        <f>SUM(Q132:Q136)</f>
        <v>0</v>
      </c>
      <c r="R137" s="99">
        <f>SUM(R132:R136)</f>
        <v>0</v>
      </c>
      <c r="S137" s="99">
        <f>SUM(S132:S136)</f>
        <v>0</v>
      </c>
      <c r="T137" s="99">
        <f>SUM(T132:T136)</f>
        <v>0</v>
      </c>
      <c r="U137" s="99">
        <f>SUM(U132:U136)</f>
        <v>232</v>
      </c>
      <c r="V137" s="101">
        <f>IF(I137-Q137=0,"",IF(D137="",(P137+S137)/(I137-Q137),IF(AND(D137&lt;&gt;"",(P137+S137)/(I137-Q137)&gt;=50%),(P137+S137)/(I137-Q137),"")))</f>
        <v>1</v>
      </c>
      <c r="W137" s="101">
        <f>IF(I137=O137,"",IF(V137="",0,(P137+Q137+S137-O137)/(I137-O137)))</f>
        <v>1</v>
      </c>
      <c r="X137" s="30"/>
      <c r="Y137" s="30"/>
      <c r="Z137" s="30"/>
      <c r="AA137" s="30"/>
      <c r="AB137" s="34"/>
      <c r="AC137" s="30"/>
      <c r="AD137" s="30"/>
      <c r="AE137" s="30"/>
      <c r="AF137" s="30"/>
      <c r="AG137" s="30"/>
      <c r="AH137" s="30"/>
      <c r="AI137" s="30"/>
      <c r="AJ137" s="30"/>
      <c r="AK137" s="30"/>
      <c r="AL137" s="30"/>
      <c r="AM137" s="30"/>
      <c r="AN137" s="30"/>
      <c r="AO137" s="30"/>
    </row>
    <row r="138" spans="1:41" s="39" customFormat="1" ht="24.75" customHeight="1">
      <c r="A138" s="32"/>
      <c r="B138" s="138" t="s">
        <v>58</v>
      </c>
      <c r="C138" s="105" t="s">
        <v>2</v>
      </c>
      <c r="D138" s="29"/>
      <c r="E138" s="16" t="s">
        <v>27</v>
      </c>
      <c r="F138" s="15"/>
      <c r="G138" s="15"/>
      <c r="H138" s="15"/>
      <c r="I138" s="17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8"/>
      <c r="W138" s="18"/>
      <c r="X138" s="30"/>
      <c r="Y138" s="30"/>
      <c r="Z138" s="30"/>
      <c r="AA138" s="30"/>
      <c r="AB138" s="34"/>
      <c r="AC138" s="30"/>
      <c r="AD138" s="30"/>
      <c r="AE138" s="30"/>
      <c r="AF138" s="30"/>
      <c r="AG138" s="30"/>
      <c r="AH138" s="30"/>
      <c r="AI138" s="30"/>
      <c r="AJ138" s="30"/>
      <c r="AK138" s="30"/>
      <c r="AL138" s="30"/>
      <c r="AM138" s="30"/>
      <c r="AN138" s="30"/>
      <c r="AO138" s="30"/>
    </row>
    <row r="139" spans="1:41" s="39" customFormat="1" ht="22.5" customHeight="1">
      <c r="A139" s="32">
        <v>22</v>
      </c>
      <c r="B139" s="139"/>
      <c r="C139" s="106" t="str">
        <f>IF(A139="","VARA",VLOOKUP(A139,'[1]varas'!$A$4:$B$67,2))</f>
        <v>22ª VT Recife</v>
      </c>
      <c r="D139" s="15"/>
      <c r="E139" s="16"/>
      <c r="F139" s="15">
        <f>48+12+13+2</f>
        <v>75</v>
      </c>
      <c r="G139" s="15">
        <v>14</v>
      </c>
      <c r="H139" s="15">
        <v>32</v>
      </c>
      <c r="I139" s="17">
        <f>SUM(F139:H139)</f>
        <v>121</v>
      </c>
      <c r="J139" s="15">
        <v>38</v>
      </c>
      <c r="K139" s="15">
        <v>15</v>
      </c>
      <c r="L139" s="15">
        <v>13</v>
      </c>
      <c r="M139" s="15">
        <v>7</v>
      </c>
      <c r="N139" s="15">
        <v>0</v>
      </c>
      <c r="O139" s="15">
        <v>12</v>
      </c>
      <c r="P139" s="15">
        <f>SUM(J139:O139)</f>
        <v>85</v>
      </c>
      <c r="Q139" s="15">
        <v>7</v>
      </c>
      <c r="R139" s="15">
        <v>29</v>
      </c>
      <c r="S139" s="15">
        <v>0</v>
      </c>
      <c r="T139" s="15">
        <v>0</v>
      </c>
      <c r="U139" s="15">
        <v>112</v>
      </c>
      <c r="V139" s="18"/>
      <c r="W139" s="18"/>
      <c r="X139" s="30"/>
      <c r="Y139" s="30"/>
      <c r="Z139" s="30"/>
      <c r="AA139" s="30"/>
      <c r="AB139" s="34"/>
      <c r="AC139" s="30"/>
      <c r="AD139" s="30"/>
      <c r="AE139" s="30"/>
      <c r="AF139" s="30"/>
      <c r="AG139" s="30"/>
      <c r="AH139" s="30"/>
      <c r="AI139" s="30"/>
      <c r="AJ139" s="30"/>
      <c r="AK139" s="30"/>
      <c r="AL139" s="30"/>
      <c r="AM139" s="30"/>
      <c r="AN139" s="30"/>
      <c r="AO139" s="30"/>
    </row>
    <row r="140" spans="1:41" s="53" customFormat="1" ht="21" customHeight="1">
      <c r="A140" s="47"/>
      <c r="B140" s="134"/>
      <c r="C140" s="107" t="s">
        <v>12</v>
      </c>
      <c r="D140" s="51"/>
      <c r="E140" s="52"/>
      <c r="F140" s="24">
        <f>SUM(F138:F139)</f>
        <v>75</v>
      </c>
      <c r="G140" s="24">
        <f>SUM(G138:G139)</f>
        <v>14</v>
      </c>
      <c r="H140" s="24">
        <f>SUM(H138:H139)</f>
        <v>32</v>
      </c>
      <c r="I140" s="25">
        <f>SUM(F140:H140)</f>
        <v>121</v>
      </c>
      <c r="J140" s="24">
        <f aca="true" t="shared" si="39" ref="J140:O140">SUM(J138:J139)</f>
        <v>38</v>
      </c>
      <c r="K140" s="24">
        <f t="shared" si="39"/>
        <v>15</v>
      </c>
      <c r="L140" s="24">
        <f t="shared" si="39"/>
        <v>13</v>
      </c>
      <c r="M140" s="24">
        <f t="shared" si="39"/>
        <v>7</v>
      </c>
      <c r="N140" s="24">
        <f t="shared" si="39"/>
        <v>0</v>
      </c>
      <c r="O140" s="24">
        <f t="shared" si="39"/>
        <v>12</v>
      </c>
      <c r="P140" s="24">
        <f>SUM(J140:O140)</f>
        <v>85</v>
      </c>
      <c r="Q140" s="24">
        <f>SUM(Q138:Q139)</f>
        <v>7</v>
      </c>
      <c r="R140" s="24">
        <f>SUM(R138:R139)</f>
        <v>29</v>
      </c>
      <c r="S140" s="24">
        <f>SUM(S138:S139)</f>
        <v>0</v>
      </c>
      <c r="T140" s="24">
        <f>SUM(T138:T139)</f>
        <v>0</v>
      </c>
      <c r="U140" s="24">
        <f>SUM(U138:U139)</f>
        <v>112</v>
      </c>
      <c r="V140" s="26">
        <f>IF(I140-Q140=0,"",IF(D140="",(P140+S140)/(I140-Q140),IF(AND(D140&lt;&gt;"",(P140+S140)/(I140-Q140)&gt;=50%),(P140+S140)/(I140-Q140),"")))</f>
        <v>0.7456140350877193</v>
      </c>
      <c r="W140" s="26">
        <f>IF(I140=O140,"",IF(V140="",0,(P140+Q140+S140-O140)/(I140-O140)))</f>
        <v>0.7339449541284404</v>
      </c>
      <c r="X140" s="49"/>
      <c r="Y140" s="49"/>
      <c r="Z140" s="49"/>
      <c r="AA140" s="49"/>
      <c r="AB140" s="50"/>
      <c r="AC140" s="49"/>
      <c r="AD140" s="49"/>
      <c r="AE140" s="49"/>
      <c r="AF140" s="49"/>
      <c r="AG140" s="49"/>
      <c r="AH140" s="49"/>
      <c r="AI140" s="49"/>
      <c r="AJ140" s="49"/>
      <c r="AK140" s="49"/>
      <c r="AL140" s="49"/>
      <c r="AM140" s="49"/>
      <c r="AN140" s="49"/>
      <c r="AO140" s="49"/>
    </row>
    <row r="141" spans="1:41" s="39" customFormat="1" ht="21" customHeight="1">
      <c r="A141" s="32"/>
      <c r="B141" s="138" t="s">
        <v>59</v>
      </c>
      <c r="C141" s="105" t="s">
        <v>156</v>
      </c>
      <c r="D141" s="15"/>
      <c r="E141" s="16" t="s">
        <v>27</v>
      </c>
      <c r="F141" s="15"/>
      <c r="G141" s="15"/>
      <c r="H141" s="15"/>
      <c r="I141" s="17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8"/>
      <c r="W141" s="18"/>
      <c r="X141" s="30"/>
      <c r="Y141" s="30"/>
      <c r="Z141" s="30"/>
      <c r="AA141" s="30"/>
      <c r="AB141" s="34"/>
      <c r="AC141" s="30"/>
      <c r="AD141" s="30"/>
      <c r="AE141" s="30"/>
      <c r="AF141" s="30"/>
      <c r="AG141" s="30"/>
      <c r="AH141" s="30"/>
      <c r="AI141" s="30"/>
      <c r="AJ141" s="30"/>
      <c r="AK141" s="30"/>
      <c r="AL141" s="30"/>
      <c r="AM141" s="30"/>
      <c r="AN141" s="30"/>
      <c r="AO141" s="30"/>
    </row>
    <row r="142" spans="1:41" s="39" customFormat="1" ht="21" customHeight="1">
      <c r="A142" s="32">
        <v>6</v>
      </c>
      <c r="B142" s="139"/>
      <c r="C142" s="106" t="str">
        <f>IF(A142="","VARA",VLOOKUP(A142,'[1]varas'!$A$4:$B$67,2))</f>
        <v>6ª VT Recife</v>
      </c>
      <c r="D142" s="15"/>
      <c r="E142" s="16"/>
      <c r="F142" s="15">
        <v>0</v>
      </c>
      <c r="G142" s="15">
        <v>0</v>
      </c>
      <c r="H142" s="15">
        <v>5</v>
      </c>
      <c r="I142" s="17">
        <f aca="true" t="shared" si="40" ref="I142:I150">SUM(F142:H142)</f>
        <v>5</v>
      </c>
      <c r="J142" s="15">
        <v>0</v>
      </c>
      <c r="K142" s="15">
        <v>0</v>
      </c>
      <c r="L142" s="15">
        <v>0</v>
      </c>
      <c r="M142" s="15">
        <v>0</v>
      </c>
      <c r="N142" s="15">
        <v>0</v>
      </c>
      <c r="O142" s="15">
        <v>0</v>
      </c>
      <c r="P142" s="15">
        <f aca="true" t="shared" si="41" ref="P142:P150">SUM(J142:O142)</f>
        <v>0</v>
      </c>
      <c r="Q142" s="15">
        <v>0</v>
      </c>
      <c r="R142" s="15">
        <v>5</v>
      </c>
      <c r="S142" s="15">
        <v>0</v>
      </c>
      <c r="T142" s="15">
        <v>0</v>
      </c>
      <c r="U142" s="15">
        <v>0</v>
      </c>
      <c r="V142" s="18"/>
      <c r="W142" s="18"/>
      <c r="X142" s="30"/>
      <c r="Y142" s="30"/>
      <c r="Z142" s="30"/>
      <c r="AA142" s="30"/>
      <c r="AB142" s="34"/>
      <c r="AC142" s="30"/>
      <c r="AD142" s="30"/>
      <c r="AE142" s="30"/>
      <c r="AF142" s="30"/>
      <c r="AG142" s="30"/>
      <c r="AH142" s="30"/>
      <c r="AI142" s="30"/>
      <c r="AJ142" s="30"/>
      <c r="AK142" s="30"/>
      <c r="AL142" s="30"/>
      <c r="AM142" s="30"/>
      <c r="AN142" s="30"/>
      <c r="AO142" s="30"/>
    </row>
    <row r="143" spans="1:41" s="39" customFormat="1" ht="21" customHeight="1">
      <c r="A143" s="32">
        <v>22</v>
      </c>
      <c r="B143" s="139"/>
      <c r="C143" s="106" t="str">
        <f>IF(A143="","VARA",VLOOKUP(A143,'[1]varas'!$A$4:$B$67,2))</f>
        <v>22ª VT Recife</v>
      </c>
      <c r="D143" s="15"/>
      <c r="E143" s="16"/>
      <c r="F143" s="15">
        <v>0</v>
      </c>
      <c r="G143" s="15">
        <v>0</v>
      </c>
      <c r="H143" s="15">
        <v>4</v>
      </c>
      <c r="I143" s="17">
        <f t="shared" si="40"/>
        <v>4</v>
      </c>
      <c r="J143" s="15">
        <v>0</v>
      </c>
      <c r="K143" s="15">
        <v>0</v>
      </c>
      <c r="L143" s="15">
        <v>0</v>
      </c>
      <c r="M143" s="15">
        <v>0</v>
      </c>
      <c r="N143" s="15">
        <v>0</v>
      </c>
      <c r="O143" s="15">
        <v>0</v>
      </c>
      <c r="P143" s="15">
        <f t="shared" si="41"/>
        <v>0</v>
      </c>
      <c r="Q143" s="15">
        <v>0</v>
      </c>
      <c r="R143" s="15">
        <v>4</v>
      </c>
      <c r="S143" s="15">
        <v>0</v>
      </c>
      <c r="T143" s="15">
        <v>0</v>
      </c>
      <c r="U143" s="15">
        <v>0</v>
      </c>
      <c r="V143" s="18"/>
      <c r="W143" s="18"/>
      <c r="X143" s="30"/>
      <c r="Y143" s="30"/>
      <c r="Z143" s="30"/>
      <c r="AA143" s="30"/>
      <c r="AB143" s="34"/>
      <c r="AC143" s="30"/>
      <c r="AD143" s="30"/>
      <c r="AE143" s="30"/>
      <c r="AF143" s="30"/>
      <c r="AG143" s="30"/>
      <c r="AH143" s="30"/>
      <c r="AI143" s="30"/>
      <c r="AJ143" s="30"/>
      <c r="AK143" s="30"/>
      <c r="AL143" s="30"/>
      <c r="AM143" s="30"/>
      <c r="AN143" s="30"/>
      <c r="AO143" s="30"/>
    </row>
    <row r="144" spans="1:41" s="39" customFormat="1" ht="21" customHeight="1">
      <c r="A144" s="32">
        <v>52</v>
      </c>
      <c r="B144" s="139"/>
      <c r="C144" s="106" t="str">
        <f>IF(A144="","VARA",VLOOKUP(A144,'[1]varas'!$A$4:$B$67,2))</f>
        <v>VT Limoeiro</v>
      </c>
      <c r="D144" s="15"/>
      <c r="E144" s="16"/>
      <c r="F144" s="15">
        <v>27</v>
      </c>
      <c r="G144" s="15">
        <v>0</v>
      </c>
      <c r="H144" s="15">
        <v>0</v>
      </c>
      <c r="I144" s="17">
        <f>SUM(F144:H144)</f>
        <v>27</v>
      </c>
      <c r="J144" s="15">
        <v>0</v>
      </c>
      <c r="K144" s="15">
        <v>0</v>
      </c>
      <c r="L144" s="15">
        <v>0</v>
      </c>
      <c r="M144" s="15">
        <v>2</v>
      </c>
      <c r="N144" s="15">
        <v>0</v>
      </c>
      <c r="O144" s="15">
        <v>23</v>
      </c>
      <c r="P144" s="15">
        <f>SUM(J144:O144)</f>
        <v>25</v>
      </c>
      <c r="Q144" s="15">
        <v>0</v>
      </c>
      <c r="R144" s="15">
        <v>2</v>
      </c>
      <c r="S144" s="15">
        <v>0</v>
      </c>
      <c r="T144" s="15">
        <v>0</v>
      </c>
      <c r="U144" s="15">
        <v>46</v>
      </c>
      <c r="V144" s="18"/>
      <c r="W144" s="18"/>
      <c r="X144" s="30"/>
      <c r="Y144" s="30"/>
      <c r="Z144" s="30"/>
      <c r="AA144" s="30"/>
      <c r="AB144" s="34"/>
      <c r="AC144" s="30"/>
      <c r="AD144" s="30"/>
      <c r="AE144" s="30"/>
      <c r="AF144" s="30"/>
      <c r="AG144" s="30"/>
      <c r="AH144" s="30"/>
      <c r="AI144" s="30"/>
      <c r="AJ144" s="30"/>
      <c r="AK144" s="30"/>
      <c r="AL144" s="30"/>
      <c r="AM144" s="30"/>
      <c r="AN144" s="30"/>
      <c r="AO144" s="30"/>
    </row>
    <row r="145" spans="1:41" s="39" customFormat="1" ht="21" customHeight="1">
      <c r="A145" s="32">
        <v>64</v>
      </c>
      <c r="B145" s="139"/>
      <c r="C145" s="106" t="str">
        <f>IF(A145="","VARA",VLOOKUP(A145,'[1]varas'!$A$4:$B$67,2))</f>
        <v>PAJT Surubim</v>
      </c>
      <c r="D145" s="15"/>
      <c r="E145" s="16"/>
      <c r="F145" s="15">
        <f>5+16+2</f>
        <v>23</v>
      </c>
      <c r="G145" s="15">
        <v>0</v>
      </c>
      <c r="H145" s="15">
        <v>0</v>
      </c>
      <c r="I145" s="17">
        <f t="shared" si="40"/>
        <v>23</v>
      </c>
      <c r="J145" s="15">
        <v>5</v>
      </c>
      <c r="K145" s="15">
        <v>0</v>
      </c>
      <c r="L145" s="15">
        <v>1</v>
      </c>
      <c r="M145" s="15">
        <v>1</v>
      </c>
      <c r="N145" s="15">
        <v>0</v>
      </c>
      <c r="O145" s="15">
        <v>16</v>
      </c>
      <c r="P145" s="15">
        <f t="shared" si="41"/>
        <v>23</v>
      </c>
      <c r="Q145" s="15">
        <v>0</v>
      </c>
      <c r="R145" s="15">
        <v>0</v>
      </c>
      <c r="S145" s="15">
        <v>0</v>
      </c>
      <c r="T145" s="15">
        <v>0</v>
      </c>
      <c r="U145" s="15">
        <v>57</v>
      </c>
      <c r="V145" s="18"/>
      <c r="W145" s="18"/>
      <c r="X145" s="30"/>
      <c r="Y145" s="30"/>
      <c r="Z145" s="30"/>
      <c r="AA145" s="30"/>
      <c r="AB145" s="34"/>
      <c r="AC145" s="30"/>
      <c r="AD145" s="30"/>
      <c r="AE145" s="30"/>
      <c r="AF145" s="30"/>
      <c r="AG145" s="30"/>
      <c r="AH145" s="30"/>
      <c r="AI145" s="30"/>
      <c r="AJ145" s="30"/>
      <c r="AK145" s="30"/>
      <c r="AL145" s="30"/>
      <c r="AM145" s="30"/>
      <c r="AN145" s="30"/>
      <c r="AO145" s="30"/>
    </row>
    <row r="146" spans="1:41" s="39" customFormat="1" ht="21" customHeight="1">
      <c r="A146" s="32">
        <v>67</v>
      </c>
      <c r="B146" s="139"/>
      <c r="C146" s="106" t="s">
        <v>168</v>
      </c>
      <c r="D146" s="15"/>
      <c r="E146" s="16"/>
      <c r="F146" s="15">
        <v>0</v>
      </c>
      <c r="G146" s="15">
        <v>0</v>
      </c>
      <c r="H146" s="15">
        <v>1</v>
      </c>
      <c r="I146" s="17">
        <f t="shared" si="40"/>
        <v>1</v>
      </c>
      <c r="J146" s="15">
        <v>1</v>
      </c>
      <c r="K146" s="15">
        <v>0</v>
      </c>
      <c r="L146" s="15">
        <v>0</v>
      </c>
      <c r="M146" s="15">
        <v>0</v>
      </c>
      <c r="N146" s="15">
        <v>0</v>
      </c>
      <c r="O146" s="15">
        <v>0</v>
      </c>
      <c r="P146" s="15">
        <f t="shared" si="41"/>
        <v>1</v>
      </c>
      <c r="Q146" s="15">
        <v>0</v>
      </c>
      <c r="R146" s="15">
        <v>0</v>
      </c>
      <c r="S146" s="15">
        <v>0</v>
      </c>
      <c r="T146" s="15">
        <v>0</v>
      </c>
      <c r="U146" s="15">
        <v>0</v>
      </c>
      <c r="V146" s="18"/>
      <c r="W146" s="18"/>
      <c r="X146" s="30"/>
      <c r="Y146" s="30"/>
      <c r="Z146" s="30"/>
      <c r="AA146" s="30"/>
      <c r="AB146" s="34"/>
      <c r="AC146" s="30"/>
      <c r="AD146" s="30"/>
      <c r="AE146" s="30"/>
      <c r="AF146" s="30"/>
      <c r="AG146" s="30"/>
      <c r="AH146" s="30"/>
      <c r="AI146" s="30"/>
      <c r="AJ146" s="30"/>
      <c r="AK146" s="30"/>
      <c r="AL146" s="30"/>
      <c r="AM146" s="30"/>
      <c r="AN146" s="30"/>
      <c r="AO146" s="30"/>
    </row>
    <row r="147" spans="1:41" s="39" customFormat="1" ht="21" customHeight="1">
      <c r="A147" s="32">
        <v>30</v>
      </c>
      <c r="B147" s="139"/>
      <c r="C147" s="106" t="str">
        <f>IF(A147="","VARA",VLOOKUP(A147,'[1]varas'!$A$4:$B$67,2))</f>
        <v>3ª VT Caruaru</v>
      </c>
      <c r="D147" s="15"/>
      <c r="E147" s="16"/>
      <c r="F147" s="15">
        <v>0</v>
      </c>
      <c r="G147" s="15">
        <v>0</v>
      </c>
      <c r="H147" s="15">
        <v>38</v>
      </c>
      <c r="I147" s="17">
        <f t="shared" si="40"/>
        <v>38</v>
      </c>
      <c r="J147" s="15">
        <v>23</v>
      </c>
      <c r="K147" s="15">
        <v>0</v>
      </c>
      <c r="L147" s="15">
        <v>0</v>
      </c>
      <c r="M147" s="15">
        <v>1</v>
      </c>
      <c r="N147" s="15">
        <v>0</v>
      </c>
      <c r="O147" s="15">
        <v>0</v>
      </c>
      <c r="P147" s="15">
        <f t="shared" si="41"/>
        <v>24</v>
      </c>
      <c r="Q147" s="15">
        <v>0</v>
      </c>
      <c r="R147" s="15">
        <v>14</v>
      </c>
      <c r="S147" s="15">
        <v>0</v>
      </c>
      <c r="T147" s="15">
        <v>0</v>
      </c>
      <c r="U147" s="15">
        <v>0</v>
      </c>
      <c r="V147" s="18"/>
      <c r="W147" s="18"/>
      <c r="X147" s="30"/>
      <c r="Y147" s="30"/>
      <c r="Z147" s="30"/>
      <c r="AA147" s="30"/>
      <c r="AB147" s="34"/>
      <c r="AC147" s="30"/>
      <c r="AD147" s="30"/>
      <c r="AE147" s="30"/>
      <c r="AF147" s="30"/>
      <c r="AG147" s="30"/>
      <c r="AH147" s="30"/>
      <c r="AI147" s="30"/>
      <c r="AJ147" s="30"/>
      <c r="AK147" s="30"/>
      <c r="AL147" s="30"/>
      <c r="AM147" s="30"/>
      <c r="AN147" s="30"/>
      <c r="AO147" s="30"/>
    </row>
    <row r="148" spans="1:41" s="39" customFormat="1" ht="24" customHeight="1">
      <c r="A148" s="32">
        <v>54</v>
      </c>
      <c r="B148" s="139"/>
      <c r="C148" s="106" t="str">
        <f>IF(A148="","VARA",VLOOKUP(A148,'[1]varas'!$A$4:$B$67,2))</f>
        <v>1ª VT Palmares</v>
      </c>
      <c r="D148" s="15"/>
      <c r="E148" s="16"/>
      <c r="F148" s="15">
        <v>0</v>
      </c>
      <c r="G148" s="15">
        <v>12</v>
      </c>
      <c r="H148" s="15">
        <v>11</v>
      </c>
      <c r="I148" s="17">
        <f t="shared" si="40"/>
        <v>23</v>
      </c>
      <c r="J148" s="15">
        <v>1</v>
      </c>
      <c r="K148" s="15">
        <v>0</v>
      </c>
      <c r="L148" s="15">
        <v>0</v>
      </c>
      <c r="M148" s="15">
        <v>0</v>
      </c>
      <c r="N148" s="15">
        <v>0</v>
      </c>
      <c r="O148" s="15">
        <v>0</v>
      </c>
      <c r="P148" s="15">
        <f t="shared" si="41"/>
        <v>1</v>
      </c>
      <c r="Q148" s="15">
        <v>0</v>
      </c>
      <c r="R148" s="15">
        <v>21</v>
      </c>
      <c r="S148" s="15">
        <v>0</v>
      </c>
      <c r="T148" s="15">
        <v>1</v>
      </c>
      <c r="U148" s="15">
        <v>0</v>
      </c>
      <c r="V148" s="18"/>
      <c r="W148" s="18"/>
      <c r="X148" s="30"/>
      <c r="Y148" s="30"/>
      <c r="Z148" s="30"/>
      <c r="AA148" s="30"/>
      <c r="AB148" s="34"/>
      <c r="AC148" s="30"/>
      <c r="AD148" s="30"/>
      <c r="AE148" s="30"/>
      <c r="AF148" s="30"/>
      <c r="AG148" s="30"/>
      <c r="AH148" s="30"/>
      <c r="AI148" s="30"/>
      <c r="AJ148" s="30"/>
      <c r="AK148" s="30"/>
      <c r="AL148" s="30"/>
      <c r="AM148" s="30"/>
      <c r="AN148" s="30"/>
      <c r="AO148" s="30"/>
    </row>
    <row r="149" spans="1:41" s="39" customFormat="1" ht="20.25" customHeight="1">
      <c r="A149" s="32">
        <v>69</v>
      </c>
      <c r="B149" s="139"/>
      <c r="C149" s="106" t="s">
        <v>175</v>
      </c>
      <c r="D149" s="15"/>
      <c r="E149" s="16"/>
      <c r="F149" s="15">
        <f>21+9+6</f>
        <v>36</v>
      </c>
      <c r="G149" s="15">
        <v>0</v>
      </c>
      <c r="H149" s="15">
        <v>0</v>
      </c>
      <c r="I149" s="17">
        <f t="shared" si="40"/>
        <v>36</v>
      </c>
      <c r="J149" s="15">
        <v>0</v>
      </c>
      <c r="K149" s="15">
        <v>3</v>
      </c>
      <c r="L149" s="15">
        <v>6</v>
      </c>
      <c r="M149" s="15">
        <v>0</v>
      </c>
      <c r="N149" s="15">
        <v>0</v>
      </c>
      <c r="O149" s="15">
        <v>9</v>
      </c>
      <c r="P149" s="15">
        <f t="shared" si="41"/>
        <v>18</v>
      </c>
      <c r="Q149" s="15">
        <v>18</v>
      </c>
      <c r="R149" s="15">
        <v>0</v>
      </c>
      <c r="S149" s="15">
        <v>0</v>
      </c>
      <c r="T149" s="15">
        <v>0</v>
      </c>
      <c r="U149" s="15">
        <v>89</v>
      </c>
      <c r="V149" s="18"/>
      <c r="W149" s="18"/>
      <c r="X149" s="30"/>
      <c r="Y149" s="30"/>
      <c r="Z149" s="30"/>
      <c r="AA149" s="30"/>
      <c r="AB149" s="34"/>
      <c r="AC149" s="30"/>
      <c r="AD149" s="30"/>
      <c r="AE149" s="30"/>
      <c r="AF149" s="30"/>
      <c r="AG149" s="30"/>
      <c r="AH149" s="30"/>
      <c r="AI149" s="30"/>
      <c r="AJ149" s="30"/>
      <c r="AK149" s="30"/>
      <c r="AL149" s="30"/>
      <c r="AM149" s="30"/>
      <c r="AN149" s="30"/>
      <c r="AO149" s="30"/>
    </row>
    <row r="150" spans="1:41" s="53" customFormat="1" ht="18" customHeight="1">
      <c r="A150" s="47"/>
      <c r="B150" s="134"/>
      <c r="C150" s="106" t="s">
        <v>12</v>
      </c>
      <c r="D150" s="24"/>
      <c r="E150" s="48"/>
      <c r="F150" s="24">
        <f>SUM(F141:F149)</f>
        <v>86</v>
      </c>
      <c r="G150" s="24">
        <f>SUM(G141:G149)</f>
        <v>12</v>
      </c>
      <c r="H150" s="24">
        <f>SUM(H141:H149)</f>
        <v>59</v>
      </c>
      <c r="I150" s="40">
        <f t="shared" si="40"/>
        <v>157</v>
      </c>
      <c r="J150" s="24">
        <f aca="true" t="shared" si="42" ref="J150:O150">SUM(J141:J149)</f>
        <v>30</v>
      </c>
      <c r="K150" s="24">
        <f t="shared" si="42"/>
        <v>3</v>
      </c>
      <c r="L150" s="24">
        <f t="shared" si="42"/>
        <v>7</v>
      </c>
      <c r="M150" s="24">
        <f t="shared" si="42"/>
        <v>4</v>
      </c>
      <c r="N150" s="24">
        <f t="shared" si="42"/>
        <v>0</v>
      </c>
      <c r="O150" s="24">
        <f t="shared" si="42"/>
        <v>48</v>
      </c>
      <c r="P150" s="24">
        <f t="shared" si="41"/>
        <v>92</v>
      </c>
      <c r="Q150" s="24">
        <f>SUM(Q141:Q149)</f>
        <v>18</v>
      </c>
      <c r="R150" s="24">
        <f>SUM(R141:R149)</f>
        <v>46</v>
      </c>
      <c r="S150" s="24">
        <f>SUM(S141:S149)</f>
        <v>0</v>
      </c>
      <c r="T150" s="24">
        <f>SUM(T141:T149)</f>
        <v>1</v>
      </c>
      <c r="U150" s="24">
        <f>SUM(U141:U149)</f>
        <v>192</v>
      </c>
      <c r="V150" s="26">
        <f>IF(I150-Q150=0,"",IF(D150="",(P150+S150)/(I150-Q150),IF(AND(D150&lt;&gt;"",(P150+S150)/(I150-Q150)&gt;=50%),(P150+S150)/(I150-Q150),"")))</f>
        <v>0.6618705035971223</v>
      </c>
      <c r="W150" s="26">
        <f>IF(I150=O150,"",IF(V150="",0,(P150+Q150+S150-O150)/(I150-O150)))</f>
        <v>0.5688073394495413</v>
      </c>
      <c r="X150" s="49"/>
      <c r="Y150" s="49"/>
      <c r="Z150" s="49"/>
      <c r="AA150" s="49"/>
      <c r="AB150" s="50"/>
      <c r="AC150" s="49"/>
      <c r="AD150" s="49"/>
      <c r="AE150" s="49"/>
      <c r="AF150" s="49"/>
      <c r="AG150" s="49"/>
      <c r="AH150" s="49"/>
      <c r="AI150" s="49"/>
      <c r="AJ150" s="49"/>
      <c r="AK150" s="49"/>
      <c r="AL150" s="49"/>
      <c r="AM150" s="49"/>
      <c r="AN150" s="49"/>
      <c r="AO150" s="49"/>
    </row>
    <row r="151" spans="1:41" s="39" customFormat="1" ht="22.5" customHeight="1">
      <c r="A151" s="32"/>
      <c r="B151" s="138" t="s">
        <v>60</v>
      </c>
      <c r="C151" s="105" t="s">
        <v>2</v>
      </c>
      <c r="D151" s="29"/>
      <c r="E151" s="16" t="s">
        <v>27</v>
      </c>
      <c r="F151" s="15"/>
      <c r="G151" s="15"/>
      <c r="H151" s="15"/>
      <c r="I151" s="17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8"/>
      <c r="W151" s="18"/>
      <c r="X151" s="30"/>
      <c r="Y151" s="30"/>
      <c r="Z151" s="30"/>
      <c r="AA151" s="30"/>
      <c r="AB151" s="34"/>
      <c r="AC151" s="30"/>
      <c r="AD151" s="30"/>
      <c r="AE151" s="30"/>
      <c r="AF151" s="30"/>
      <c r="AG151" s="30"/>
      <c r="AH151" s="30"/>
      <c r="AI151" s="30"/>
      <c r="AJ151" s="30"/>
      <c r="AK151" s="30"/>
      <c r="AL151" s="30"/>
      <c r="AM151" s="30"/>
      <c r="AN151" s="30"/>
      <c r="AO151" s="30"/>
    </row>
    <row r="152" spans="1:41" s="39" customFormat="1" ht="22.5" customHeight="1">
      <c r="A152" s="32">
        <v>8</v>
      </c>
      <c r="B152" s="142"/>
      <c r="C152" s="106" t="str">
        <f>IF(A152="","VARA",VLOOKUP(A152,'[1]varas'!$A$4:$B$67,2))</f>
        <v>8ª VT Recife</v>
      </c>
      <c r="D152" s="15"/>
      <c r="E152" s="16"/>
      <c r="F152" s="15">
        <f>53+38+23+5</f>
        <v>119</v>
      </c>
      <c r="G152" s="15">
        <v>3</v>
      </c>
      <c r="H152" s="15">
        <v>0</v>
      </c>
      <c r="I152" s="17">
        <f>SUM(F152:H152)</f>
        <v>122</v>
      </c>
      <c r="J152" s="15">
        <v>39</v>
      </c>
      <c r="K152" s="15">
        <v>12</v>
      </c>
      <c r="L152" s="15">
        <v>23</v>
      </c>
      <c r="M152" s="15">
        <v>5</v>
      </c>
      <c r="N152" s="15">
        <v>0</v>
      </c>
      <c r="O152" s="15">
        <v>38</v>
      </c>
      <c r="P152" s="15">
        <f>SUM(J152:O152)</f>
        <v>117</v>
      </c>
      <c r="Q152" s="15">
        <v>5</v>
      </c>
      <c r="R152" s="15">
        <v>0</v>
      </c>
      <c r="S152" s="15">
        <v>0</v>
      </c>
      <c r="T152" s="15">
        <v>0</v>
      </c>
      <c r="U152" s="15">
        <v>183</v>
      </c>
      <c r="V152" s="18"/>
      <c r="W152" s="18"/>
      <c r="X152" s="30"/>
      <c r="Y152" s="30"/>
      <c r="Z152" s="30"/>
      <c r="AA152" s="30"/>
      <c r="AB152" s="34"/>
      <c r="AC152" s="30"/>
      <c r="AD152" s="30"/>
      <c r="AE152" s="30"/>
      <c r="AF152" s="30"/>
      <c r="AG152" s="30"/>
      <c r="AH152" s="30"/>
      <c r="AI152" s="30"/>
      <c r="AJ152" s="30"/>
      <c r="AK152" s="30"/>
      <c r="AL152" s="30"/>
      <c r="AM152" s="30"/>
      <c r="AN152" s="30"/>
      <c r="AO152" s="30"/>
    </row>
    <row r="153" spans="1:41" s="53" customFormat="1" ht="18" customHeight="1">
      <c r="A153" s="47"/>
      <c r="B153" s="134"/>
      <c r="C153" s="106" t="s">
        <v>12</v>
      </c>
      <c r="D153" s="24"/>
      <c r="E153" s="48"/>
      <c r="F153" s="24">
        <f>SUM(F151:F152)</f>
        <v>119</v>
      </c>
      <c r="G153" s="24">
        <f>SUM(G151:G152)</f>
        <v>3</v>
      </c>
      <c r="H153" s="24">
        <f>SUM(H151:H152)</f>
        <v>0</v>
      </c>
      <c r="I153" s="40">
        <f>SUM(F153:H153)</f>
        <v>122</v>
      </c>
      <c r="J153" s="24">
        <f aca="true" t="shared" si="43" ref="J153:O153">SUM(J151:J152)</f>
        <v>39</v>
      </c>
      <c r="K153" s="24">
        <f t="shared" si="43"/>
        <v>12</v>
      </c>
      <c r="L153" s="24">
        <f t="shared" si="43"/>
        <v>23</v>
      </c>
      <c r="M153" s="24">
        <f t="shared" si="43"/>
        <v>5</v>
      </c>
      <c r="N153" s="24">
        <f t="shared" si="43"/>
        <v>0</v>
      </c>
      <c r="O153" s="24">
        <f t="shared" si="43"/>
        <v>38</v>
      </c>
      <c r="P153" s="24">
        <f>SUM(J153:O153)</f>
        <v>117</v>
      </c>
      <c r="Q153" s="24">
        <f>SUM(Q151:Q152)</f>
        <v>5</v>
      </c>
      <c r="R153" s="24">
        <f>SUM(R151:R152)</f>
        <v>0</v>
      </c>
      <c r="S153" s="24">
        <f>SUM(S151:S152)</f>
        <v>0</v>
      </c>
      <c r="T153" s="24">
        <f>SUM(T151:T152)</f>
        <v>0</v>
      </c>
      <c r="U153" s="24">
        <f>SUM(U151:U152)</f>
        <v>183</v>
      </c>
      <c r="V153" s="26">
        <f>IF(I153-Q153=0,"",IF(D153="",(P153+S153)/(I153-Q153),IF(AND(D153&lt;&gt;"",(P153+S153)/(I153-Q153)&gt;=50%),(P153+S153)/(I153-Q153),"")))</f>
        <v>1</v>
      </c>
      <c r="W153" s="26">
        <f>IF(I153=O153,"",IF(V153="",0,(P153+Q153+S153-O153)/(I153-O153)))</f>
        <v>1</v>
      </c>
      <c r="X153" s="49"/>
      <c r="Y153" s="49"/>
      <c r="Z153" s="49"/>
      <c r="AA153" s="49"/>
      <c r="AB153" s="50"/>
      <c r="AC153" s="49"/>
      <c r="AD153" s="49"/>
      <c r="AE153" s="49"/>
      <c r="AF153" s="49"/>
      <c r="AG153" s="49"/>
      <c r="AH153" s="49"/>
      <c r="AI153" s="49"/>
      <c r="AJ153" s="49"/>
      <c r="AK153" s="49"/>
      <c r="AL153" s="49"/>
      <c r="AM153" s="49"/>
      <c r="AN153" s="49"/>
      <c r="AO153" s="49"/>
    </row>
    <row r="154" spans="1:41" s="39" customFormat="1" ht="21" customHeight="1">
      <c r="A154" s="32"/>
      <c r="B154" s="138" t="s">
        <v>61</v>
      </c>
      <c r="C154" s="105" t="s">
        <v>2</v>
      </c>
      <c r="D154" s="29" t="s">
        <v>30</v>
      </c>
      <c r="E154" s="16" t="s">
        <v>216</v>
      </c>
      <c r="F154" s="15"/>
      <c r="G154" s="15"/>
      <c r="H154" s="15"/>
      <c r="I154" s="17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8"/>
      <c r="W154" s="18"/>
      <c r="X154" s="30"/>
      <c r="Y154" s="30"/>
      <c r="Z154" s="30"/>
      <c r="AA154" s="30"/>
      <c r="AB154" s="34"/>
      <c r="AC154" s="30"/>
      <c r="AD154" s="30"/>
      <c r="AE154" s="30"/>
      <c r="AF154" s="30"/>
      <c r="AG154" s="30"/>
      <c r="AH154" s="30"/>
      <c r="AI154" s="30"/>
      <c r="AJ154" s="30"/>
      <c r="AK154" s="30"/>
      <c r="AL154" s="30"/>
      <c r="AM154" s="30"/>
      <c r="AN154" s="30"/>
      <c r="AO154" s="30"/>
    </row>
    <row r="155" spans="1:41" s="39" customFormat="1" ht="18" customHeight="1">
      <c r="A155" s="32">
        <v>21</v>
      </c>
      <c r="B155" s="139"/>
      <c r="C155" s="106" t="str">
        <f>IF(A155="","VARA",VLOOKUP(A155,'[1]varas'!$A$4:$B$67,2))</f>
        <v>21ª VT Recife</v>
      </c>
      <c r="D155" s="15"/>
      <c r="E155" s="16"/>
      <c r="F155" s="15">
        <f>26+11</f>
        <v>37</v>
      </c>
      <c r="G155" s="15">
        <v>5</v>
      </c>
      <c r="H155" s="15">
        <v>28</v>
      </c>
      <c r="I155" s="17">
        <f>SUM(F155:H155)</f>
        <v>70</v>
      </c>
      <c r="J155" s="15">
        <v>0</v>
      </c>
      <c r="K155" s="15">
        <v>4</v>
      </c>
      <c r="L155" s="15">
        <v>0</v>
      </c>
      <c r="M155" s="15">
        <v>0</v>
      </c>
      <c r="N155" s="15">
        <v>0</v>
      </c>
      <c r="O155" s="15">
        <v>11</v>
      </c>
      <c r="P155" s="15">
        <f>SUM(J155:O155)</f>
        <v>15</v>
      </c>
      <c r="Q155" s="15">
        <v>20</v>
      </c>
      <c r="R155" s="15">
        <v>35</v>
      </c>
      <c r="S155" s="15">
        <v>0</v>
      </c>
      <c r="T155" s="15">
        <v>0</v>
      </c>
      <c r="U155" s="15">
        <v>58</v>
      </c>
      <c r="V155" s="18"/>
      <c r="W155" s="18"/>
      <c r="X155" s="30"/>
      <c r="Y155" s="30"/>
      <c r="Z155" s="30"/>
      <c r="AA155" s="30"/>
      <c r="AB155" s="34"/>
      <c r="AC155" s="30"/>
      <c r="AD155" s="30"/>
      <c r="AE155" s="30"/>
      <c r="AF155" s="30"/>
      <c r="AG155" s="30"/>
      <c r="AH155" s="30"/>
      <c r="AI155" s="30"/>
      <c r="AJ155" s="30"/>
      <c r="AK155" s="30"/>
      <c r="AL155" s="30"/>
      <c r="AM155" s="30"/>
      <c r="AN155" s="30"/>
      <c r="AO155" s="30"/>
    </row>
    <row r="156" spans="1:41" s="39" customFormat="1" ht="15.75" customHeight="1">
      <c r="A156" s="32"/>
      <c r="B156" s="134"/>
      <c r="C156" s="107" t="s">
        <v>12</v>
      </c>
      <c r="D156" s="33"/>
      <c r="E156" s="23"/>
      <c r="F156" s="24">
        <f>SUM(F154:F155)</f>
        <v>37</v>
      </c>
      <c r="G156" s="24">
        <f>SUM(G154:G155)</f>
        <v>5</v>
      </c>
      <c r="H156" s="24">
        <f>SUM(H154:H155)</f>
        <v>28</v>
      </c>
      <c r="I156" s="40">
        <f>SUM(F156:H156)</f>
        <v>70</v>
      </c>
      <c r="J156" s="24">
        <f aca="true" t="shared" si="44" ref="J156:O156">SUM(J154:J155)</f>
        <v>0</v>
      </c>
      <c r="K156" s="24">
        <f t="shared" si="44"/>
        <v>4</v>
      </c>
      <c r="L156" s="24">
        <f t="shared" si="44"/>
        <v>0</v>
      </c>
      <c r="M156" s="24">
        <f t="shared" si="44"/>
        <v>0</v>
      </c>
      <c r="N156" s="24">
        <f t="shared" si="44"/>
        <v>0</v>
      </c>
      <c r="O156" s="24">
        <f t="shared" si="44"/>
        <v>11</v>
      </c>
      <c r="P156" s="24">
        <f>SUM(J156:O156)</f>
        <v>15</v>
      </c>
      <c r="Q156" s="24">
        <f>SUM(Q154:Q155)</f>
        <v>20</v>
      </c>
      <c r="R156" s="24">
        <f>SUM(R154:R155)</f>
        <v>35</v>
      </c>
      <c r="S156" s="24">
        <f>SUM(S154:S155)</f>
        <v>0</v>
      </c>
      <c r="T156" s="24">
        <f>SUM(T154:T155)</f>
        <v>0</v>
      </c>
      <c r="U156" s="24">
        <f>SUM(U154:U155)</f>
        <v>58</v>
      </c>
      <c r="V156" s="26">
        <f>IF(I156-Q156=0,"",IF(D156="",(P156+S156)/(I156-Q156),IF(AND(D156&lt;&gt;"",(P156+S156)/(I156-Q156)&gt;=50%),(P156+S156)/(I156-Q156),"")))</f>
        <v>0.3</v>
      </c>
      <c r="W156" s="26">
        <f>IF(I156=O156,"",IF(V156="",0,(P156+Q156+S156-O156)/(I156-O156)))</f>
        <v>0.4067796610169492</v>
      </c>
      <c r="X156" s="30"/>
      <c r="Y156" s="30"/>
      <c r="Z156" s="30"/>
      <c r="AA156" s="30"/>
      <c r="AB156" s="34"/>
      <c r="AC156" s="30"/>
      <c r="AD156" s="30"/>
      <c r="AE156" s="30"/>
      <c r="AF156" s="30"/>
      <c r="AG156" s="30"/>
      <c r="AH156" s="30"/>
      <c r="AI156" s="30"/>
      <c r="AJ156" s="30"/>
      <c r="AK156" s="30"/>
      <c r="AL156" s="30"/>
      <c r="AM156" s="30"/>
      <c r="AN156" s="30"/>
      <c r="AO156" s="30"/>
    </row>
    <row r="157" spans="1:41" s="39" customFormat="1" ht="21" customHeight="1">
      <c r="A157" s="32"/>
      <c r="B157" s="146" t="s">
        <v>185</v>
      </c>
      <c r="C157" s="109" t="s">
        <v>154</v>
      </c>
      <c r="D157" s="90"/>
      <c r="E157" s="91" t="s">
        <v>27</v>
      </c>
      <c r="F157" s="92"/>
      <c r="G157" s="92"/>
      <c r="H157" s="92"/>
      <c r="I157" s="93"/>
      <c r="J157" s="92"/>
      <c r="K157" s="92"/>
      <c r="L157" s="92"/>
      <c r="M157" s="92"/>
      <c r="N157" s="92"/>
      <c r="O157" s="92"/>
      <c r="P157" s="92"/>
      <c r="Q157" s="92"/>
      <c r="R157" s="92"/>
      <c r="S157" s="92"/>
      <c r="T157" s="92"/>
      <c r="U157" s="92"/>
      <c r="V157" s="94"/>
      <c r="W157" s="94"/>
      <c r="X157" s="30"/>
      <c r="Y157" s="30"/>
      <c r="Z157" s="30"/>
      <c r="AA157" s="30"/>
      <c r="AB157" s="34"/>
      <c r="AC157" s="30"/>
      <c r="AD157" s="30"/>
      <c r="AE157" s="30"/>
      <c r="AF157" s="30"/>
      <c r="AG157" s="30"/>
      <c r="AH157" s="30"/>
      <c r="AI157" s="30"/>
      <c r="AJ157" s="30"/>
      <c r="AK157" s="30"/>
      <c r="AL157" s="30"/>
      <c r="AM157" s="30"/>
      <c r="AN157" s="30"/>
      <c r="AO157" s="30"/>
    </row>
    <row r="158" spans="1:41" s="39" customFormat="1" ht="18.75" customHeight="1">
      <c r="A158" s="32">
        <v>32</v>
      </c>
      <c r="B158" s="147"/>
      <c r="C158" s="110" t="str">
        <f>IF(A158="","VARA",VLOOKUP(A158,'[1]varas'!$A$4:$B$67,2))</f>
        <v>1ª VT Ipojuca</v>
      </c>
      <c r="D158" s="90"/>
      <c r="E158" s="91"/>
      <c r="F158" s="92">
        <f>51+14+5</f>
        <v>70</v>
      </c>
      <c r="G158" s="92">
        <v>5</v>
      </c>
      <c r="H158" s="92">
        <v>0</v>
      </c>
      <c r="I158" s="93">
        <f>SUM(F158:H158)</f>
        <v>75</v>
      </c>
      <c r="J158" s="92">
        <v>31</v>
      </c>
      <c r="K158" s="92">
        <v>16</v>
      </c>
      <c r="L158" s="92">
        <v>2</v>
      </c>
      <c r="M158" s="92">
        <v>3</v>
      </c>
      <c r="N158" s="92">
        <v>0</v>
      </c>
      <c r="O158" s="92">
        <v>14</v>
      </c>
      <c r="P158" s="92">
        <f>SUM(J158:O158)</f>
        <v>66</v>
      </c>
      <c r="Q158" s="92">
        <v>8</v>
      </c>
      <c r="R158" s="92">
        <v>1</v>
      </c>
      <c r="S158" s="92">
        <v>0</v>
      </c>
      <c r="T158" s="92">
        <v>0</v>
      </c>
      <c r="U158" s="92">
        <v>111</v>
      </c>
      <c r="V158" s="94"/>
      <c r="W158" s="94"/>
      <c r="X158" s="30"/>
      <c r="Y158" s="30"/>
      <c r="Z158" s="30"/>
      <c r="AA158" s="30"/>
      <c r="AB158" s="34"/>
      <c r="AC158" s="30"/>
      <c r="AD158" s="30"/>
      <c r="AE158" s="30"/>
      <c r="AF158" s="30"/>
      <c r="AG158" s="30"/>
      <c r="AH158" s="30"/>
      <c r="AI158" s="30"/>
      <c r="AJ158" s="30"/>
      <c r="AK158" s="30"/>
      <c r="AL158" s="30"/>
      <c r="AM158" s="30"/>
      <c r="AN158" s="30"/>
      <c r="AO158" s="30"/>
    </row>
    <row r="159" spans="1:41" s="39" customFormat="1" ht="20.25" customHeight="1">
      <c r="A159" s="32"/>
      <c r="B159" s="148"/>
      <c r="C159" s="114" t="s">
        <v>12</v>
      </c>
      <c r="D159" s="97"/>
      <c r="E159" s="98"/>
      <c r="F159" s="99">
        <f>SUM(F157:F158)</f>
        <v>70</v>
      </c>
      <c r="G159" s="99">
        <f>SUM(G157:G158)</f>
        <v>5</v>
      </c>
      <c r="H159" s="99">
        <f>SUM(H157:H158)</f>
        <v>0</v>
      </c>
      <c r="I159" s="100">
        <f>SUM(F159:H159)</f>
        <v>75</v>
      </c>
      <c r="J159" s="99">
        <f aca="true" t="shared" si="45" ref="J159:O159">SUM(J157:J158)</f>
        <v>31</v>
      </c>
      <c r="K159" s="99">
        <f t="shared" si="45"/>
        <v>16</v>
      </c>
      <c r="L159" s="99">
        <f t="shared" si="45"/>
        <v>2</v>
      </c>
      <c r="M159" s="99">
        <f t="shared" si="45"/>
        <v>3</v>
      </c>
      <c r="N159" s="99">
        <f t="shared" si="45"/>
        <v>0</v>
      </c>
      <c r="O159" s="99">
        <f t="shared" si="45"/>
        <v>14</v>
      </c>
      <c r="P159" s="99">
        <f>SUM(J159:O159)</f>
        <v>66</v>
      </c>
      <c r="Q159" s="99">
        <f>SUM(Q157:Q158)</f>
        <v>8</v>
      </c>
      <c r="R159" s="99">
        <f>SUM(R157:R158)</f>
        <v>1</v>
      </c>
      <c r="S159" s="99">
        <f>SUM(S157:S158)</f>
        <v>0</v>
      </c>
      <c r="T159" s="99">
        <f>SUM(T157:T158)</f>
        <v>0</v>
      </c>
      <c r="U159" s="99">
        <f>SUM(U157:U158)</f>
        <v>111</v>
      </c>
      <c r="V159" s="101">
        <f>IF(I159-Q159=0,"",IF(D159="",(P159+S159)/(I159-Q159),IF(AND(D159&lt;&gt;"",(P159+S159)/(I159-Q159)&gt;=50%),(P159+S159)/(I159-Q159),"")))</f>
        <v>0.9850746268656716</v>
      </c>
      <c r="W159" s="101">
        <f>IF(I159=O159,"",IF(V159="",0,(P159+Q159+S159-O159)/(I159-O159)))</f>
        <v>0.9836065573770492</v>
      </c>
      <c r="X159" s="30"/>
      <c r="Y159" s="30"/>
      <c r="Z159" s="30"/>
      <c r="AA159" s="30"/>
      <c r="AB159" s="34"/>
      <c r="AC159" s="30"/>
      <c r="AD159" s="30"/>
      <c r="AE159" s="30"/>
      <c r="AF159" s="30"/>
      <c r="AG159" s="30"/>
      <c r="AH159" s="30"/>
      <c r="AI159" s="30"/>
      <c r="AJ159" s="30"/>
      <c r="AK159" s="30"/>
      <c r="AL159" s="30"/>
      <c r="AM159" s="30"/>
      <c r="AN159" s="30"/>
      <c r="AO159" s="30"/>
    </row>
    <row r="160" spans="1:41" s="39" customFormat="1" ht="27" customHeight="1">
      <c r="A160" s="32"/>
      <c r="B160" s="143" t="s">
        <v>62</v>
      </c>
      <c r="C160" s="14" t="s">
        <v>154</v>
      </c>
      <c r="D160" s="29"/>
      <c r="E160" s="16" t="s">
        <v>27</v>
      </c>
      <c r="F160" s="15"/>
      <c r="G160" s="15"/>
      <c r="H160" s="15"/>
      <c r="I160" s="17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8"/>
      <c r="W160" s="18"/>
      <c r="X160" s="30"/>
      <c r="Y160" s="30"/>
      <c r="Z160" s="30"/>
      <c r="AA160" s="30"/>
      <c r="AB160" s="34"/>
      <c r="AC160" s="30"/>
      <c r="AD160" s="30"/>
      <c r="AE160" s="30"/>
      <c r="AF160" s="30"/>
      <c r="AG160" s="30"/>
      <c r="AH160" s="30"/>
      <c r="AI160" s="30"/>
      <c r="AJ160" s="30"/>
      <c r="AK160" s="30"/>
      <c r="AL160" s="30"/>
      <c r="AM160" s="30"/>
      <c r="AN160" s="30"/>
      <c r="AO160" s="30"/>
    </row>
    <row r="161" spans="1:41" s="39" customFormat="1" ht="18.75" customHeight="1">
      <c r="A161" s="32">
        <v>56</v>
      </c>
      <c r="B161" s="144"/>
      <c r="C161" s="20" t="str">
        <f>IF(A161="","VARA",VLOOKUP(A161,'[1]varas'!$A$4:$B$67,2))</f>
        <v>1ª VT Ribeirão</v>
      </c>
      <c r="D161" s="29"/>
      <c r="E161" s="16"/>
      <c r="F161" s="15">
        <v>1</v>
      </c>
      <c r="G161" s="15">
        <v>14</v>
      </c>
      <c r="H161" s="15">
        <v>35</v>
      </c>
      <c r="I161" s="17">
        <f>SUM(F161:H161)</f>
        <v>50</v>
      </c>
      <c r="J161" s="15">
        <v>0</v>
      </c>
      <c r="K161" s="15">
        <v>0</v>
      </c>
      <c r="L161" s="15">
        <v>1</v>
      </c>
      <c r="M161" s="15">
        <v>0</v>
      </c>
      <c r="N161" s="15">
        <v>0</v>
      </c>
      <c r="O161" s="15">
        <v>0</v>
      </c>
      <c r="P161" s="15">
        <f>SUM(J161:O161)</f>
        <v>1</v>
      </c>
      <c r="Q161" s="15">
        <v>0</v>
      </c>
      <c r="R161" s="15">
        <v>49</v>
      </c>
      <c r="S161" s="15">
        <v>0</v>
      </c>
      <c r="T161" s="15">
        <v>0</v>
      </c>
      <c r="U161" s="15">
        <v>0</v>
      </c>
      <c r="V161" s="18"/>
      <c r="W161" s="18"/>
      <c r="X161" s="30"/>
      <c r="Y161" s="30"/>
      <c r="Z161" s="30"/>
      <c r="AA161" s="30"/>
      <c r="AB161" s="34"/>
      <c r="AC161" s="30"/>
      <c r="AD161" s="30"/>
      <c r="AE161" s="30"/>
      <c r="AF161" s="30"/>
      <c r="AG161" s="30"/>
      <c r="AH161" s="30"/>
      <c r="AI161" s="30"/>
      <c r="AJ161" s="30"/>
      <c r="AK161" s="30"/>
      <c r="AL161" s="30"/>
      <c r="AM161" s="30"/>
      <c r="AN161" s="30"/>
      <c r="AO161" s="30"/>
    </row>
    <row r="162" spans="1:41" s="39" customFormat="1" ht="18.75" customHeight="1">
      <c r="A162" s="32">
        <v>70</v>
      </c>
      <c r="B162" s="144"/>
      <c r="C162" s="20" t="s">
        <v>170</v>
      </c>
      <c r="D162" s="29"/>
      <c r="E162" s="16"/>
      <c r="F162" s="15">
        <f>12+25+10</f>
        <v>47</v>
      </c>
      <c r="G162" s="15">
        <v>0</v>
      </c>
      <c r="H162" s="15">
        <v>0</v>
      </c>
      <c r="I162" s="17">
        <f>SUM(F162:H162)</f>
        <v>47</v>
      </c>
      <c r="J162" s="15">
        <v>10</v>
      </c>
      <c r="K162" s="15">
        <v>2</v>
      </c>
      <c r="L162" s="15">
        <v>7</v>
      </c>
      <c r="M162" s="15">
        <v>3</v>
      </c>
      <c r="N162" s="15">
        <v>0</v>
      </c>
      <c r="O162" s="15">
        <v>25</v>
      </c>
      <c r="P162" s="15">
        <f>SUM(J162:O162)</f>
        <v>47</v>
      </c>
      <c r="Q162" s="15">
        <v>0</v>
      </c>
      <c r="R162" s="15">
        <v>0</v>
      </c>
      <c r="S162" s="15">
        <v>0</v>
      </c>
      <c r="T162" s="15">
        <v>0</v>
      </c>
      <c r="U162" s="15">
        <v>122</v>
      </c>
      <c r="V162" s="18"/>
      <c r="W162" s="18"/>
      <c r="X162" s="30"/>
      <c r="Y162" s="30"/>
      <c r="Z162" s="30"/>
      <c r="AA162" s="30"/>
      <c r="AB162" s="34"/>
      <c r="AC162" s="30"/>
      <c r="AD162" s="30"/>
      <c r="AE162" s="30"/>
      <c r="AF162" s="30"/>
      <c r="AG162" s="30"/>
      <c r="AH162" s="30"/>
      <c r="AI162" s="30"/>
      <c r="AJ162" s="30"/>
      <c r="AK162" s="30"/>
      <c r="AL162" s="30"/>
      <c r="AM162" s="30"/>
      <c r="AN162" s="30"/>
      <c r="AO162" s="30"/>
    </row>
    <row r="163" spans="1:41" s="39" customFormat="1" ht="18.75" customHeight="1">
      <c r="A163" s="32">
        <v>48</v>
      </c>
      <c r="B163" s="144"/>
      <c r="C163" s="20" t="str">
        <f>IF(A163="","VARA",VLOOKUP(A163,'[1]varas'!$A$4:$B$67,2))</f>
        <v>VT Catende</v>
      </c>
      <c r="D163" s="29"/>
      <c r="E163" s="16"/>
      <c r="F163" s="15">
        <v>0</v>
      </c>
      <c r="G163" s="15">
        <v>0</v>
      </c>
      <c r="H163" s="15">
        <v>19</v>
      </c>
      <c r="I163" s="17">
        <f>SUM(F163:H163)</f>
        <v>19</v>
      </c>
      <c r="J163" s="15">
        <v>0</v>
      </c>
      <c r="K163" s="15">
        <v>0</v>
      </c>
      <c r="L163" s="15">
        <v>0</v>
      </c>
      <c r="M163" s="15">
        <v>0</v>
      </c>
      <c r="N163" s="15">
        <v>0</v>
      </c>
      <c r="O163" s="15">
        <v>0</v>
      </c>
      <c r="P163" s="15">
        <f>SUM(J163:O163)</f>
        <v>0</v>
      </c>
      <c r="Q163" s="15">
        <v>0</v>
      </c>
      <c r="R163" s="15">
        <v>19</v>
      </c>
      <c r="S163" s="15">
        <v>0</v>
      </c>
      <c r="T163" s="15">
        <v>0</v>
      </c>
      <c r="U163" s="15">
        <v>0</v>
      </c>
      <c r="V163" s="18"/>
      <c r="W163" s="18"/>
      <c r="X163" s="30"/>
      <c r="Y163" s="30"/>
      <c r="Z163" s="30"/>
      <c r="AA163" s="30"/>
      <c r="AB163" s="34"/>
      <c r="AC163" s="30"/>
      <c r="AD163" s="30"/>
      <c r="AE163" s="30"/>
      <c r="AF163" s="30"/>
      <c r="AG163" s="30"/>
      <c r="AH163" s="30"/>
      <c r="AI163" s="30"/>
      <c r="AJ163" s="30"/>
      <c r="AK163" s="30"/>
      <c r="AL163" s="30"/>
      <c r="AM163" s="30"/>
      <c r="AN163" s="30"/>
      <c r="AO163" s="30"/>
    </row>
    <row r="164" spans="1:41" s="53" customFormat="1" ht="18" customHeight="1">
      <c r="A164" s="47"/>
      <c r="B164" s="145"/>
      <c r="C164" s="20" t="s">
        <v>12</v>
      </c>
      <c r="D164" s="24"/>
      <c r="E164" s="48"/>
      <c r="F164" s="24">
        <f>SUM(F160:F163)</f>
        <v>48</v>
      </c>
      <c r="G164" s="24">
        <f>SUM(G160:G163)</f>
        <v>14</v>
      </c>
      <c r="H164" s="24">
        <f>SUM(H160:H163)</f>
        <v>54</v>
      </c>
      <c r="I164" s="40">
        <f>SUM(F164:H164)</f>
        <v>116</v>
      </c>
      <c r="J164" s="24">
        <f aca="true" t="shared" si="46" ref="J164:O164">SUM(J160:J163)</f>
        <v>10</v>
      </c>
      <c r="K164" s="24">
        <f t="shared" si="46"/>
        <v>2</v>
      </c>
      <c r="L164" s="24">
        <f t="shared" si="46"/>
        <v>8</v>
      </c>
      <c r="M164" s="24">
        <f t="shared" si="46"/>
        <v>3</v>
      </c>
      <c r="N164" s="24">
        <f t="shared" si="46"/>
        <v>0</v>
      </c>
      <c r="O164" s="24">
        <f t="shared" si="46"/>
        <v>25</v>
      </c>
      <c r="P164" s="24">
        <f>SUM(J164:O164)</f>
        <v>48</v>
      </c>
      <c r="Q164" s="24">
        <f>SUM(Q160:Q163)</f>
        <v>0</v>
      </c>
      <c r="R164" s="24">
        <f>SUM(R160:R163)</f>
        <v>68</v>
      </c>
      <c r="S164" s="24">
        <f>SUM(S160:S163)</f>
        <v>0</v>
      </c>
      <c r="T164" s="24">
        <f>SUM(T160:T163)</f>
        <v>0</v>
      </c>
      <c r="U164" s="24">
        <f>SUM(U160:U163)</f>
        <v>122</v>
      </c>
      <c r="V164" s="26">
        <f>IF(I164-Q164=0,"",IF(D164="",(P164+S164)/(I164-Q164),IF(AND(D164&lt;&gt;"",(P164+S164)/(I164-Q164)&gt;=50%),(P164+S164)/(I164-Q164),"")))</f>
        <v>0.41379310344827586</v>
      </c>
      <c r="W164" s="26">
        <f>IF(I164=O164,"",IF(V164="",0,(P164+Q164+S164-O164)/(I164-O164)))</f>
        <v>0.25274725274725274</v>
      </c>
      <c r="X164" s="49"/>
      <c r="Y164" s="49"/>
      <c r="Z164" s="49"/>
      <c r="AA164" s="49"/>
      <c r="AB164" s="50"/>
      <c r="AC164" s="49"/>
      <c r="AD164" s="49"/>
      <c r="AE164" s="49"/>
      <c r="AF164" s="49"/>
      <c r="AG164" s="49"/>
      <c r="AH164" s="49"/>
      <c r="AI164" s="49"/>
      <c r="AJ164" s="49"/>
      <c r="AK164" s="49"/>
      <c r="AL164" s="49"/>
      <c r="AM164" s="49"/>
      <c r="AN164" s="49"/>
      <c r="AO164" s="49"/>
    </row>
    <row r="165" spans="1:41" s="39" customFormat="1" ht="24" customHeight="1">
      <c r="A165" s="32"/>
      <c r="B165" s="130" t="s">
        <v>63</v>
      </c>
      <c r="C165" s="14" t="s">
        <v>156</v>
      </c>
      <c r="D165" s="29" t="s">
        <v>30</v>
      </c>
      <c r="E165" s="16" t="s">
        <v>216</v>
      </c>
      <c r="F165" s="15"/>
      <c r="G165" s="15"/>
      <c r="H165" s="15"/>
      <c r="I165" s="17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8"/>
      <c r="W165" s="18"/>
      <c r="X165" s="30"/>
      <c r="Y165" s="30"/>
      <c r="Z165" s="30"/>
      <c r="AA165" s="30"/>
      <c r="AB165" s="34"/>
      <c r="AC165" s="30"/>
      <c r="AD165" s="30"/>
      <c r="AE165" s="30"/>
      <c r="AF165" s="30"/>
      <c r="AG165" s="30"/>
      <c r="AH165" s="30"/>
      <c r="AI165" s="30"/>
      <c r="AJ165" s="30"/>
      <c r="AK165" s="30"/>
      <c r="AL165" s="30"/>
      <c r="AM165" s="30"/>
      <c r="AN165" s="30"/>
      <c r="AO165" s="30"/>
    </row>
    <row r="166" spans="1:41" s="39" customFormat="1" ht="21" customHeight="1">
      <c r="A166" s="32">
        <v>44</v>
      </c>
      <c r="B166" s="137"/>
      <c r="C166" s="20" t="str">
        <f>IF(A166="","VARA",VLOOKUP(A166,'[1]varas'!$A$4:$B$67,2))</f>
        <v>2ª VT Petrolina</v>
      </c>
      <c r="D166" s="29"/>
      <c r="E166" s="16"/>
      <c r="F166" s="15">
        <f>26+18+3</f>
        <v>47</v>
      </c>
      <c r="G166" s="15">
        <v>30</v>
      </c>
      <c r="H166" s="15">
        <v>0</v>
      </c>
      <c r="I166" s="17">
        <f>SUM(F166:H166)</f>
        <v>77</v>
      </c>
      <c r="J166" s="15">
        <v>8</v>
      </c>
      <c r="K166" s="15">
        <v>0</v>
      </c>
      <c r="L166" s="15">
        <v>2</v>
      </c>
      <c r="M166" s="15">
        <v>1</v>
      </c>
      <c r="N166" s="15">
        <v>0</v>
      </c>
      <c r="O166" s="15">
        <v>18</v>
      </c>
      <c r="P166" s="15">
        <f>SUM(J166:O166)</f>
        <v>29</v>
      </c>
      <c r="Q166" s="15">
        <v>24</v>
      </c>
      <c r="R166" s="15">
        <v>24</v>
      </c>
      <c r="S166" s="15">
        <v>0</v>
      </c>
      <c r="T166" s="15">
        <v>0</v>
      </c>
      <c r="U166" s="15">
        <v>181</v>
      </c>
      <c r="V166" s="18"/>
      <c r="W166" s="18"/>
      <c r="X166" s="30"/>
      <c r="Y166" s="30"/>
      <c r="Z166" s="30"/>
      <c r="AA166" s="30"/>
      <c r="AB166" s="34"/>
      <c r="AC166" s="30"/>
      <c r="AD166" s="30"/>
      <c r="AE166" s="30"/>
      <c r="AF166" s="30"/>
      <c r="AG166" s="30"/>
      <c r="AH166" s="30"/>
      <c r="AI166" s="30"/>
      <c r="AJ166" s="30"/>
      <c r="AK166" s="30"/>
      <c r="AL166" s="30"/>
      <c r="AM166" s="30"/>
      <c r="AN166" s="30"/>
      <c r="AO166" s="30"/>
    </row>
    <row r="167" spans="1:41" s="39" customFormat="1" ht="17.25" customHeight="1">
      <c r="A167" s="32"/>
      <c r="B167" s="131"/>
      <c r="C167" s="21" t="s">
        <v>12</v>
      </c>
      <c r="D167" s="33"/>
      <c r="E167" s="23"/>
      <c r="F167" s="24">
        <f>SUM(F165:F166)</f>
        <v>47</v>
      </c>
      <c r="G167" s="24">
        <f>SUM(G165:G166)</f>
        <v>30</v>
      </c>
      <c r="H167" s="24">
        <f>SUM(H165:H166)</f>
        <v>0</v>
      </c>
      <c r="I167" s="40">
        <f>SUM(F167:H167)</f>
        <v>77</v>
      </c>
      <c r="J167" s="24">
        <f aca="true" t="shared" si="47" ref="J167:O167">SUM(J165:J166)</f>
        <v>8</v>
      </c>
      <c r="K167" s="24">
        <f t="shared" si="47"/>
        <v>0</v>
      </c>
      <c r="L167" s="24">
        <f t="shared" si="47"/>
        <v>2</v>
      </c>
      <c r="M167" s="24">
        <f t="shared" si="47"/>
        <v>1</v>
      </c>
      <c r="N167" s="24">
        <f t="shared" si="47"/>
        <v>0</v>
      </c>
      <c r="O167" s="24">
        <f t="shared" si="47"/>
        <v>18</v>
      </c>
      <c r="P167" s="24">
        <f>SUM(J167:O167)</f>
        <v>29</v>
      </c>
      <c r="Q167" s="24">
        <f>SUM(Q165:Q166)</f>
        <v>24</v>
      </c>
      <c r="R167" s="24">
        <f>SUM(R165:R166)</f>
        <v>24</v>
      </c>
      <c r="S167" s="24">
        <f>SUM(S165:S166)</f>
        <v>0</v>
      </c>
      <c r="T167" s="24">
        <f>SUM(T165:T166)</f>
        <v>0</v>
      </c>
      <c r="U167" s="24">
        <f>SUM(U165:U166)</f>
        <v>181</v>
      </c>
      <c r="V167" s="26">
        <f>IF(I167-Q167=0,"",IF(D167="",(P167+S167)/(I167-Q167),IF(AND(D167&lt;&gt;"",(P167+S167)/(I167-Q167)&gt;=50%),(P167+S167)/(I167-Q167),"")))</f>
        <v>0.5471698113207547</v>
      </c>
      <c r="W167" s="26">
        <f>IF(I167=O167,"",IF(V167="",0,(P167+Q167+S167-O167)/(I167-O167)))</f>
        <v>0.5932203389830508</v>
      </c>
      <c r="X167" s="30"/>
      <c r="Y167" s="30"/>
      <c r="Z167" s="30"/>
      <c r="AA167" s="30"/>
      <c r="AB167" s="34"/>
      <c r="AC167" s="30"/>
      <c r="AD167" s="30"/>
      <c r="AE167" s="30"/>
      <c r="AF167" s="30"/>
      <c r="AG167" s="30"/>
      <c r="AH167" s="30"/>
      <c r="AI167" s="30"/>
      <c r="AJ167" s="30"/>
      <c r="AK167" s="30"/>
      <c r="AL167" s="30"/>
      <c r="AM167" s="30"/>
      <c r="AN167" s="30"/>
      <c r="AO167" s="30"/>
    </row>
    <row r="168" spans="1:41" s="39" customFormat="1" ht="21" customHeight="1">
      <c r="A168" s="32"/>
      <c r="B168" s="138" t="s">
        <v>64</v>
      </c>
      <c r="C168" s="105" t="s">
        <v>154</v>
      </c>
      <c r="D168" s="29"/>
      <c r="E168" s="16" t="s">
        <v>27</v>
      </c>
      <c r="F168" s="15"/>
      <c r="G168" s="15"/>
      <c r="H168" s="15"/>
      <c r="I168" s="17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8"/>
      <c r="W168" s="18"/>
      <c r="X168" s="30"/>
      <c r="Y168" s="30"/>
      <c r="Z168" s="30"/>
      <c r="AA168" s="30"/>
      <c r="AB168" s="34"/>
      <c r="AC168" s="30"/>
      <c r="AD168" s="30"/>
      <c r="AE168" s="30"/>
      <c r="AF168" s="30"/>
      <c r="AG168" s="30"/>
      <c r="AH168" s="30"/>
      <c r="AI168" s="30"/>
      <c r="AJ168" s="30"/>
      <c r="AK168" s="30"/>
      <c r="AL168" s="30"/>
      <c r="AM168" s="30"/>
      <c r="AN168" s="30"/>
      <c r="AO168" s="30"/>
    </row>
    <row r="169" spans="1:41" s="39" customFormat="1" ht="16.5" customHeight="1">
      <c r="A169" s="32">
        <v>67</v>
      </c>
      <c r="B169" s="139"/>
      <c r="C169" s="106" t="s">
        <v>168</v>
      </c>
      <c r="D169" s="29"/>
      <c r="E169" s="16"/>
      <c r="F169" s="15">
        <f>39+61+6</f>
        <v>106</v>
      </c>
      <c r="G169" s="15">
        <v>0</v>
      </c>
      <c r="H169" s="15">
        <v>4</v>
      </c>
      <c r="I169" s="17">
        <f>SUM(F169:H169)</f>
        <v>110</v>
      </c>
      <c r="J169" s="15">
        <v>21</v>
      </c>
      <c r="K169" s="15">
        <v>8</v>
      </c>
      <c r="L169" s="15">
        <v>6</v>
      </c>
      <c r="M169" s="15">
        <v>0</v>
      </c>
      <c r="N169" s="15">
        <v>0</v>
      </c>
      <c r="O169" s="15">
        <v>61</v>
      </c>
      <c r="P169" s="15">
        <f>SUM(J169:O169)</f>
        <v>96</v>
      </c>
      <c r="Q169" s="15">
        <v>14</v>
      </c>
      <c r="R169" s="15">
        <v>0</v>
      </c>
      <c r="S169" s="15">
        <v>0</v>
      </c>
      <c r="T169" s="15">
        <v>0</v>
      </c>
      <c r="U169" s="15">
        <v>178</v>
      </c>
      <c r="V169" s="18"/>
      <c r="W169" s="18"/>
      <c r="X169" s="30"/>
      <c r="Y169" s="30"/>
      <c r="Z169" s="30"/>
      <c r="AA169" s="30"/>
      <c r="AB169" s="34"/>
      <c r="AC169" s="30"/>
      <c r="AD169" s="30"/>
      <c r="AE169" s="30"/>
      <c r="AF169" s="30"/>
      <c r="AG169" s="30"/>
      <c r="AH169" s="30"/>
      <c r="AI169" s="30"/>
      <c r="AJ169" s="30"/>
      <c r="AK169" s="30"/>
      <c r="AL169" s="30"/>
      <c r="AM169" s="30"/>
      <c r="AN169" s="30"/>
      <c r="AO169" s="30"/>
    </row>
    <row r="170" spans="1:41" s="53" customFormat="1" ht="19.5" customHeight="1">
      <c r="A170" s="47"/>
      <c r="B170" s="134"/>
      <c r="C170" s="107" t="s">
        <v>12</v>
      </c>
      <c r="D170" s="51"/>
      <c r="E170" s="52"/>
      <c r="F170" s="24">
        <f>SUM(F168:F169)</f>
        <v>106</v>
      </c>
      <c r="G170" s="24">
        <f>SUM(G168:G169)</f>
        <v>0</v>
      </c>
      <c r="H170" s="24">
        <f>SUM(H168:H169)</f>
        <v>4</v>
      </c>
      <c r="I170" s="25">
        <f>SUM(F170:H170)</f>
        <v>110</v>
      </c>
      <c r="J170" s="24">
        <f aca="true" t="shared" si="48" ref="J170:O170">SUM(J168:J169)</f>
        <v>21</v>
      </c>
      <c r="K170" s="24">
        <f t="shared" si="48"/>
        <v>8</v>
      </c>
      <c r="L170" s="24">
        <f t="shared" si="48"/>
        <v>6</v>
      </c>
      <c r="M170" s="24">
        <f t="shared" si="48"/>
        <v>0</v>
      </c>
      <c r="N170" s="24">
        <f t="shared" si="48"/>
        <v>0</v>
      </c>
      <c r="O170" s="24">
        <f t="shared" si="48"/>
        <v>61</v>
      </c>
      <c r="P170" s="24">
        <f>SUM(J170:O170)</f>
        <v>96</v>
      </c>
      <c r="Q170" s="24">
        <f>SUM(Q168:Q169)</f>
        <v>14</v>
      </c>
      <c r="R170" s="24">
        <f>SUM(R168:R169)</f>
        <v>0</v>
      </c>
      <c r="S170" s="24">
        <f>SUM(S168:S169)</f>
        <v>0</v>
      </c>
      <c r="T170" s="24">
        <f>SUM(T168:T169)</f>
        <v>0</v>
      </c>
      <c r="U170" s="24">
        <f>SUM(U168:U169)</f>
        <v>178</v>
      </c>
      <c r="V170" s="26">
        <f>IF(I170-Q170=0,"",IF(D170="",(P170+S170)/(I170-Q170),IF(AND(D170&lt;&gt;"",(P170+S170)/(I170-Q170)&gt;=50%),(P170+S170)/(I170-Q170),"")))</f>
        <v>1</v>
      </c>
      <c r="W170" s="26">
        <f>IF(I170=O170,"",IF(V170="",0,(P170+Q170+S170-O170)/(I170-O170)))</f>
        <v>1</v>
      </c>
      <c r="X170" s="49"/>
      <c r="Y170" s="49"/>
      <c r="Z170" s="49"/>
      <c r="AA170" s="49"/>
      <c r="AB170" s="50"/>
      <c r="AC170" s="49"/>
      <c r="AD170" s="49"/>
      <c r="AE170" s="49"/>
      <c r="AF170" s="49"/>
      <c r="AG170" s="49"/>
      <c r="AH170" s="49"/>
      <c r="AI170" s="49"/>
      <c r="AJ170" s="49"/>
      <c r="AK170" s="49"/>
      <c r="AL170" s="49"/>
      <c r="AM170" s="49"/>
      <c r="AN170" s="49"/>
      <c r="AO170" s="49"/>
    </row>
    <row r="171" spans="1:41" s="39" customFormat="1" ht="19.5" customHeight="1">
      <c r="A171" s="32"/>
      <c r="B171" s="138" t="s">
        <v>65</v>
      </c>
      <c r="C171" s="105" t="s">
        <v>2</v>
      </c>
      <c r="D171" s="29" t="s">
        <v>30</v>
      </c>
      <c r="E171" s="16" t="s">
        <v>208</v>
      </c>
      <c r="F171" s="15"/>
      <c r="G171" s="15"/>
      <c r="H171" s="15"/>
      <c r="I171" s="17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8"/>
      <c r="W171" s="18"/>
      <c r="X171" s="30"/>
      <c r="Y171" s="30"/>
      <c r="Z171" s="30"/>
      <c r="AA171" s="30"/>
      <c r="AB171" s="34"/>
      <c r="AC171" s="30"/>
      <c r="AD171" s="30"/>
      <c r="AE171" s="30"/>
      <c r="AF171" s="30"/>
      <c r="AG171" s="30"/>
      <c r="AH171" s="30"/>
      <c r="AI171" s="30"/>
      <c r="AJ171" s="30"/>
      <c r="AK171" s="30"/>
      <c r="AL171" s="30"/>
      <c r="AM171" s="30"/>
      <c r="AN171" s="30"/>
      <c r="AO171" s="30"/>
    </row>
    <row r="172" spans="1:41" s="39" customFormat="1" ht="19.5" customHeight="1">
      <c r="A172" s="32">
        <v>41</v>
      </c>
      <c r="B172" s="139"/>
      <c r="C172" s="106" t="str">
        <f>IF(A172="","VARA",VLOOKUP(A172,'[1]varas'!$A$4:$B$67,2))</f>
        <v>1ª VT Paulista</v>
      </c>
      <c r="D172" s="15"/>
      <c r="E172" s="16"/>
      <c r="F172" s="15">
        <f>26+29+6</f>
        <v>61</v>
      </c>
      <c r="G172" s="15">
        <v>0</v>
      </c>
      <c r="H172" s="15">
        <v>5</v>
      </c>
      <c r="I172" s="17">
        <f>SUM(F172:H172)</f>
        <v>66</v>
      </c>
      <c r="J172" s="15">
        <v>28</v>
      </c>
      <c r="K172" s="15">
        <v>3</v>
      </c>
      <c r="L172" s="15">
        <v>6</v>
      </c>
      <c r="M172" s="15">
        <v>0</v>
      </c>
      <c r="N172" s="15">
        <v>0</v>
      </c>
      <c r="O172" s="15">
        <v>29</v>
      </c>
      <c r="P172" s="15">
        <f>SUM(J172:O172)</f>
        <v>66</v>
      </c>
      <c r="Q172" s="15">
        <v>0</v>
      </c>
      <c r="R172" s="15">
        <v>0</v>
      </c>
      <c r="S172" s="15">
        <v>0</v>
      </c>
      <c r="T172" s="15">
        <v>0</v>
      </c>
      <c r="U172" s="15">
        <v>107</v>
      </c>
      <c r="V172" s="18"/>
      <c r="W172" s="18"/>
      <c r="X172" s="30"/>
      <c r="Y172" s="30"/>
      <c r="Z172" s="30"/>
      <c r="AA172" s="30"/>
      <c r="AB172" s="34"/>
      <c r="AC172" s="30"/>
      <c r="AD172" s="30"/>
      <c r="AE172" s="30"/>
      <c r="AF172" s="30"/>
      <c r="AG172" s="30"/>
      <c r="AH172" s="30"/>
      <c r="AI172" s="30"/>
      <c r="AJ172" s="30"/>
      <c r="AK172" s="30"/>
      <c r="AL172" s="30"/>
      <c r="AM172" s="30"/>
      <c r="AN172" s="30"/>
      <c r="AO172" s="30"/>
    </row>
    <row r="173" spans="1:41" s="39" customFormat="1" ht="24.75" customHeight="1">
      <c r="A173" s="32">
        <v>42</v>
      </c>
      <c r="B173" s="139"/>
      <c r="C173" s="106" t="str">
        <f>IF(A173="","VARA",VLOOKUP(A173,'[1]varas'!$A$4:$B$67,2))</f>
        <v>2ª VT Paulista</v>
      </c>
      <c r="D173" s="15"/>
      <c r="E173" s="16"/>
      <c r="F173" s="15">
        <f>27+16+2+3</f>
        <v>48</v>
      </c>
      <c r="G173" s="15">
        <v>0</v>
      </c>
      <c r="H173" s="15">
        <v>7</v>
      </c>
      <c r="I173" s="17">
        <f>SUM(F173:H173)</f>
        <v>55</v>
      </c>
      <c r="J173" s="15">
        <v>22</v>
      </c>
      <c r="K173" s="15">
        <v>12</v>
      </c>
      <c r="L173" s="15">
        <v>2</v>
      </c>
      <c r="M173" s="15">
        <v>3</v>
      </c>
      <c r="N173" s="15">
        <v>0</v>
      </c>
      <c r="O173" s="15">
        <v>16</v>
      </c>
      <c r="P173" s="15">
        <f>SUM(J173:O173)</f>
        <v>55</v>
      </c>
      <c r="Q173" s="15">
        <v>0</v>
      </c>
      <c r="R173" s="15">
        <v>0</v>
      </c>
      <c r="S173" s="15">
        <v>0</v>
      </c>
      <c r="T173" s="15">
        <v>0</v>
      </c>
      <c r="U173" s="15">
        <v>70</v>
      </c>
      <c r="V173" s="18"/>
      <c r="W173" s="18"/>
      <c r="X173" s="30"/>
      <c r="Y173" s="30"/>
      <c r="Z173" s="30"/>
      <c r="AA173" s="30"/>
      <c r="AB173" s="34"/>
      <c r="AC173" s="30"/>
      <c r="AD173" s="30"/>
      <c r="AE173" s="30"/>
      <c r="AF173" s="30"/>
      <c r="AG173" s="30"/>
      <c r="AH173" s="30"/>
      <c r="AI173" s="30"/>
      <c r="AJ173" s="30"/>
      <c r="AK173" s="30"/>
      <c r="AL173" s="30"/>
      <c r="AM173" s="30"/>
      <c r="AN173" s="30"/>
      <c r="AO173" s="30"/>
    </row>
    <row r="174" spans="1:41" s="53" customFormat="1" ht="18" customHeight="1">
      <c r="A174" s="47"/>
      <c r="B174" s="134"/>
      <c r="C174" s="106" t="s">
        <v>12</v>
      </c>
      <c r="D174" s="24"/>
      <c r="E174" s="48"/>
      <c r="F174" s="24">
        <f>SUM(F171:F173)</f>
        <v>109</v>
      </c>
      <c r="G174" s="24">
        <f>SUM(G171:G173)</f>
        <v>0</v>
      </c>
      <c r="H174" s="24">
        <f>SUM(H171:H173)</f>
        <v>12</v>
      </c>
      <c r="I174" s="40">
        <f>SUM(F174:H174)</f>
        <v>121</v>
      </c>
      <c r="J174" s="24">
        <f aca="true" t="shared" si="49" ref="J174:O174">SUM(J171:J173)</f>
        <v>50</v>
      </c>
      <c r="K174" s="24">
        <f t="shared" si="49"/>
        <v>15</v>
      </c>
      <c r="L174" s="24">
        <f t="shared" si="49"/>
        <v>8</v>
      </c>
      <c r="M174" s="24">
        <f t="shared" si="49"/>
        <v>3</v>
      </c>
      <c r="N174" s="24">
        <f t="shared" si="49"/>
        <v>0</v>
      </c>
      <c r="O174" s="24">
        <f t="shared" si="49"/>
        <v>45</v>
      </c>
      <c r="P174" s="24">
        <f>SUM(J174:O174)</f>
        <v>121</v>
      </c>
      <c r="Q174" s="24">
        <f>SUM(Q171:Q173)</f>
        <v>0</v>
      </c>
      <c r="R174" s="24">
        <f>SUM(R171:R173)</f>
        <v>0</v>
      </c>
      <c r="S174" s="24">
        <f>SUM(S171:S173)</f>
        <v>0</v>
      </c>
      <c r="T174" s="24">
        <f>SUM(T171:T173)</f>
        <v>0</v>
      </c>
      <c r="U174" s="24">
        <f>SUM(U171:U173)</f>
        <v>177</v>
      </c>
      <c r="V174" s="26">
        <f>IF(I174-Q174=0,"",IF(D174="",(P174+S174)/(I174-Q174),IF(AND(D174&lt;&gt;"",(P174+S174)/(I174-Q174)&gt;=50%),(P174+S174)/(I174-Q174),"")))</f>
        <v>1</v>
      </c>
      <c r="W174" s="26">
        <f>IF(I174=O174,"",IF(V174="",0,(P174+Q174+S174-O174)/(I174-O174)))</f>
        <v>1</v>
      </c>
      <c r="X174" s="49"/>
      <c r="Y174" s="49"/>
      <c r="Z174" s="49"/>
      <c r="AA174" s="49"/>
      <c r="AB174" s="50"/>
      <c r="AC174" s="49"/>
      <c r="AD174" s="49"/>
      <c r="AE174" s="49"/>
      <c r="AF174" s="49"/>
      <c r="AG174" s="49"/>
      <c r="AH174" s="49"/>
      <c r="AI174" s="49"/>
      <c r="AJ174" s="49"/>
      <c r="AK174" s="49"/>
      <c r="AL174" s="49"/>
      <c r="AM174" s="49"/>
      <c r="AN174" s="49"/>
      <c r="AO174" s="49"/>
    </row>
    <row r="175" spans="1:41" s="39" customFormat="1" ht="19.5" customHeight="1">
      <c r="A175" s="32"/>
      <c r="B175" s="138" t="s">
        <v>66</v>
      </c>
      <c r="C175" s="105" t="s">
        <v>2</v>
      </c>
      <c r="D175" s="29"/>
      <c r="E175" s="16" t="s">
        <v>27</v>
      </c>
      <c r="F175" s="15"/>
      <c r="G175" s="15"/>
      <c r="H175" s="15"/>
      <c r="I175" s="17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8"/>
      <c r="W175" s="18"/>
      <c r="X175" s="30"/>
      <c r="Y175" s="30"/>
      <c r="Z175" s="30"/>
      <c r="AA175" s="30"/>
      <c r="AB175" s="34"/>
      <c r="AC175" s="30"/>
      <c r="AD175" s="30"/>
      <c r="AE175" s="30"/>
      <c r="AF175" s="30"/>
      <c r="AG175" s="30"/>
      <c r="AH175" s="30"/>
      <c r="AI175" s="30"/>
      <c r="AJ175" s="30"/>
      <c r="AK175" s="30"/>
      <c r="AL175" s="30"/>
      <c r="AM175" s="30"/>
      <c r="AN175" s="30"/>
      <c r="AO175" s="30"/>
    </row>
    <row r="176" spans="1:41" s="39" customFormat="1" ht="27" customHeight="1">
      <c r="A176" s="32">
        <v>68</v>
      </c>
      <c r="B176" s="139"/>
      <c r="C176" s="106" t="s">
        <v>171</v>
      </c>
      <c r="D176" s="15"/>
      <c r="E176" s="16"/>
      <c r="F176" s="15">
        <f>110+21+9</f>
        <v>140</v>
      </c>
      <c r="G176" s="15">
        <v>73</v>
      </c>
      <c r="H176" s="15">
        <v>0</v>
      </c>
      <c r="I176" s="17">
        <f>SUM(F176:H176)</f>
        <v>213</v>
      </c>
      <c r="J176" s="15">
        <v>42</v>
      </c>
      <c r="K176" s="15">
        <v>17</v>
      </c>
      <c r="L176" s="15">
        <v>12</v>
      </c>
      <c r="M176" s="15">
        <v>1</v>
      </c>
      <c r="N176" s="15">
        <v>0</v>
      </c>
      <c r="O176" s="15">
        <v>21</v>
      </c>
      <c r="P176" s="15">
        <f>SUM(J176:O176)</f>
        <v>93</v>
      </c>
      <c r="Q176" s="15">
        <v>71</v>
      </c>
      <c r="R176" s="15">
        <v>49</v>
      </c>
      <c r="S176" s="15">
        <v>0</v>
      </c>
      <c r="T176" s="15">
        <v>0</v>
      </c>
      <c r="U176" s="15">
        <v>202</v>
      </c>
      <c r="V176" s="18"/>
      <c r="W176" s="18"/>
      <c r="X176" s="30"/>
      <c r="Y176" s="30"/>
      <c r="Z176" s="30"/>
      <c r="AA176" s="30"/>
      <c r="AB176" s="34"/>
      <c r="AC176" s="30"/>
      <c r="AD176" s="30"/>
      <c r="AE176" s="30"/>
      <c r="AF176" s="30"/>
      <c r="AG176" s="30"/>
      <c r="AH176" s="30"/>
      <c r="AI176" s="30"/>
      <c r="AJ176" s="30"/>
      <c r="AK176" s="30"/>
      <c r="AL176" s="30"/>
      <c r="AM176" s="30"/>
      <c r="AN176" s="30"/>
      <c r="AO176" s="30"/>
    </row>
    <row r="177" spans="1:41" s="53" customFormat="1" ht="16.5" customHeight="1">
      <c r="A177" s="47"/>
      <c r="B177" s="134"/>
      <c r="C177" s="106" t="s">
        <v>12</v>
      </c>
      <c r="D177" s="24"/>
      <c r="E177" s="48"/>
      <c r="F177" s="24">
        <f>SUM(F175:F176)</f>
        <v>140</v>
      </c>
      <c r="G177" s="24">
        <f>SUM(G175:G176)</f>
        <v>73</v>
      </c>
      <c r="H177" s="24">
        <f>SUM(H175:H176)</f>
        <v>0</v>
      </c>
      <c r="I177" s="40">
        <f>SUM(F177:H177)</f>
        <v>213</v>
      </c>
      <c r="J177" s="24">
        <f aca="true" t="shared" si="50" ref="J177:O177">SUM(J175:J176)</f>
        <v>42</v>
      </c>
      <c r="K177" s="24">
        <f t="shared" si="50"/>
        <v>17</v>
      </c>
      <c r="L177" s="24">
        <f t="shared" si="50"/>
        <v>12</v>
      </c>
      <c r="M177" s="24">
        <f t="shared" si="50"/>
        <v>1</v>
      </c>
      <c r="N177" s="24">
        <f t="shared" si="50"/>
        <v>0</v>
      </c>
      <c r="O177" s="24">
        <f t="shared" si="50"/>
        <v>21</v>
      </c>
      <c r="P177" s="24">
        <f>SUM(J177:O177)</f>
        <v>93</v>
      </c>
      <c r="Q177" s="24">
        <f>SUM(Q175:Q176)</f>
        <v>71</v>
      </c>
      <c r="R177" s="24">
        <f>SUM(R175:R176)</f>
        <v>49</v>
      </c>
      <c r="S177" s="24">
        <f>SUM(S175:S176)</f>
        <v>0</v>
      </c>
      <c r="T177" s="24">
        <f>SUM(T175:T176)</f>
        <v>0</v>
      </c>
      <c r="U177" s="24">
        <f>SUM(U175:U176)</f>
        <v>202</v>
      </c>
      <c r="V177" s="26">
        <f>IF(I177-Q177=0,"",IF(D177="",(P177+S177)/(I177-Q177),IF(AND(D177&lt;&gt;"",(P177+S177)/(I177-Q177)&gt;=50%),(P177+S177)/(I177-Q177),"")))</f>
        <v>0.6549295774647887</v>
      </c>
      <c r="W177" s="26">
        <f>IF(I177=O177,"",IF(V177="",0,(P177+Q177+S177-O177)/(I177-O177)))</f>
        <v>0.7447916666666666</v>
      </c>
      <c r="X177" s="49"/>
      <c r="Y177" s="49"/>
      <c r="Z177" s="49"/>
      <c r="AA177" s="49"/>
      <c r="AB177" s="50"/>
      <c r="AC177" s="49"/>
      <c r="AD177" s="49"/>
      <c r="AE177" s="49"/>
      <c r="AF177" s="49"/>
      <c r="AG177" s="49"/>
      <c r="AH177" s="49"/>
      <c r="AI177" s="49"/>
      <c r="AJ177" s="49"/>
      <c r="AK177" s="49"/>
      <c r="AL177" s="49"/>
      <c r="AM177" s="49"/>
      <c r="AN177" s="49"/>
      <c r="AO177" s="49"/>
    </row>
    <row r="178" spans="1:41" s="53" customFormat="1" ht="24" customHeight="1">
      <c r="A178" s="47"/>
      <c r="B178" s="138" t="s">
        <v>174</v>
      </c>
      <c r="C178" s="105" t="s">
        <v>2</v>
      </c>
      <c r="D178" s="29"/>
      <c r="E178" s="16" t="s">
        <v>27</v>
      </c>
      <c r="F178" s="15"/>
      <c r="G178" s="15"/>
      <c r="H178" s="15"/>
      <c r="I178" s="17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8"/>
      <c r="W178" s="18"/>
      <c r="X178" s="49"/>
      <c r="Y178" s="49"/>
      <c r="Z178" s="49"/>
      <c r="AA178" s="49"/>
      <c r="AB178" s="50"/>
      <c r="AC178" s="49"/>
      <c r="AD178" s="49"/>
      <c r="AE178" s="49"/>
      <c r="AF178" s="49"/>
      <c r="AG178" s="49"/>
      <c r="AH178" s="49"/>
      <c r="AI178" s="49"/>
      <c r="AJ178" s="49"/>
      <c r="AK178" s="49"/>
      <c r="AL178" s="49"/>
      <c r="AM178" s="49"/>
      <c r="AN178" s="49"/>
      <c r="AO178" s="49"/>
    </row>
    <row r="179" spans="1:41" s="53" customFormat="1" ht="20.25" customHeight="1">
      <c r="A179" s="32">
        <v>66</v>
      </c>
      <c r="B179" s="139"/>
      <c r="C179" s="106" t="s">
        <v>161</v>
      </c>
      <c r="D179" s="15"/>
      <c r="E179" s="16"/>
      <c r="F179" s="15">
        <f>43+42</f>
        <v>85</v>
      </c>
      <c r="G179" s="15">
        <v>0</v>
      </c>
      <c r="H179" s="15">
        <v>0</v>
      </c>
      <c r="I179" s="17">
        <f>SUM(F179:H179)</f>
        <v>85</v>
      </c>
      <c r="J179" s="15">
        <v>29</v>
      </c>
      <c r="K179" s="15">
        <v>14</v>
      </c>
      <c r="L179" s="15">
        <v>1</v>
      </c>
      <c r="M179" s="15">
        <v>1</v>
      </c>
      <c r="N179" s="15">
        <v>0</v>
      </c>
      <c r="O179" s="15">
        <v>40</v>
      </c>
      <c r="P179" s="15">
        <f>SUM(J179:O179)</f>
        <v>85</v>
      </c>
      <c r="Q179" s="15">
        <v>0</v>
      </c>
      <c r="R179" s="15">
        <v>0</v>
      </c>
      <c r="S179" s="15">
        <v>0</v>
      </c>
      <c r="T179" s="15">
        <v>0</v>
      </c>
      <c r="U179" s="15">
        <v>152</v>
      </c>
      <c r="V179" s="18"/>
      <c r="W179" s="18"/>
      <c r="X179" s="49"/>
      <c r="Y179" s="49"/>
      <c r="Z179" s="49"/>
      <c r="AA179" s="49"/>
      <c r="AB179" s="50"/>
      <c r="AC179" s="49"/>
      <c r="AD179" s="49"/>
      <c r="AE179" s="49"/>
      <c r="AF179" s="49"/>
      <c r="AG179" s="49"/>
      <c r="AH179" s="49"/>
      <c r="AI179" s="49"/>
      <c r="AJ179" s="49"/>
      <c r="AK179" s="49"/>
      <c r="AL179" s="49"/>
      <c r="AM179" s="49"/>
      <c r="AN179" s="49"/>
      <c r="AO179" s="49"/>
    </row>
    <row r="180" spans="1:41" s="53" customFormat="1" ht="21.75" customHeight="1">
      <c r="A180" s="47"/>
      <c r="B180" s="134"/>
      <c r="C180" s="106" t="s">
        <v>12</v>
      </c>
      <c r="D180" s="24"/>
      <c r="E180" s="48"/>
      <c r="F180" s="24">
        <f>SUM(F178:F179)</f>
        <v>85</v>
      </c>
      <c r="G180" s="24">
        <f>SUM(G178:G179)</f>
        <v>0</v>
      </c>
      <c r="H180" s="24">
        <f>SUM(H178:H179)</f>
        <v>0</v>
      </c>
      <c r="I180" s="40">
        <f>SUM(F180:H180)</f>
        <v>85</v>
      </c>
      <c r="J180" s="24">
        <f aca="true" t="shared" si="51" ref="J180:O180">SUM(J178:J179)</f>
        <v>29</v>
      </c>
      <c r="K180" s="24">
        <f t="shared" si="51"/>
        <v>14</v>
      </c>
      <c r="L180" s="24">
        <f t="shared" si="51"/>
        <v>1</v>
      </c>
      <c r="M180" s="24">
        <f t="shared" si="51"/>
        <v>1</v>
      </c>
      <c r="N180" s="24">
        <f t="shared" si="51"/>
        <v>0</v>
      </c>
      <c r="O180" s="24">
        <f t="shared" si="51"/>
        <v>40</v>
      </c>
      <c r="P180" s="24">
        <f>SUM(J180:O180)</f>
        <v>85</v>
      </c>
      <c r="Q180" s="24">
        <f>SUM(Q178:Q179)</f>
        <v>0</v>
      </c>
      <c r="R180" s="24">
        <f>SUM(R178:R179)</f>
        <v>0</v>
      </c>
      <c r="S180" s="24">
        <f>SUM(S178:S179)</f>
        <v>0</v>
      </c>
      <c r="T180" s="24">
        <f>SUM(T178:T179)</f>
        <v>0</v>
      </c>
      <c r="U180" s="24">
        <f>SUM(U178:U179)</f>
        <v>152</v>
      </c>
      <c r="V180" s="26">
        <f>IF(I180-Q180=0,"",IF(D180="",(P180+S180)/(I180-Q180),IF(AND(D180&lt;&gt;"",(P180+S180)/(I180-Q180)&gt;=50%),(P180+S180)/(I180-Q180),"")))</f>
        <v>1</v>
      </c>
      <c r="W180" s="26">
        <f>IF(I180=O180,"",IF(V180="",0,(P180+Q180+S180-O180)/(I180-O180)))</f>
        <v>1</v>
      </c>
      <c r="X180" s="49"/>
      <c r="Y180" s="49"/>
      <c r="Z180" s="49"/>
      <c r="AA180" s="49"/>
      <c r="AB180" s="50"/>
      <c r="AC180" s="49"/>
      <c r="AD180" s="49"/>
      <c r="AE180" s="49"/>
      <c r="AF180" s="49"/>
      <c r="AG180" s="49"/>
      <c r="AH180" s="49"/>
      <c r="AI180" s="49"/>
      <c r="AJ180" s="49"/>
      <c r="AK180" s="49"/>
      <c r="AL180" s="49"/>
      <c r="AM180" s="49"/>
      <c r="AN180" s="49"/>
      <c r="AO180" s="49"/>
    </row>
    <row r="181" spans="1:41" s="39" customFormat="1" ht="21" customHeight="1">
      <c r="A181" s="32"/>
      <c r="B181" s="130" t="s">
        <v>67</v>
      </c>
      <c r="C181" s="14" t="s">
        <v>2</v>
      </c>
      <c r="D181" s="29"/>
      <c r="E181" s="16" t="s">
        <v>27</v>
      </c>
      <c r="F181" s="15"/>
      <c r="G181" s="15"/>
      <c r="H181" s="15"/>
      <c r="I181" s="17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8"/>
      <c r="W181" s="18"/>
      <c r="X181" s="30"/>
      <c r="Y181" s="30"/>
      <c r="Z181" s="30"/>
      <c r="AA181" s="30"/>
      <c r="AB181" s="34"/>
      <c r="AC181" s="30"/>
      <c r="AD181" s="30"/>
      <c r="AE181" s="30"/>
      <c r="AF181" s="30"/>
      <c r="AG181" s="30"/>
      <c r="AH181" s="30"/>
      <c r="AI181" s="30"/>
      <c r="AJ181" s="30"/>
      <c r="AK181" s="30"/>
      <c r="AL181" s="30"/>
      <c r="AM181" s="30"/>
      <c r="AN181" s="30"/>
      <c r="AO181" s="30"/>
    </row>
    <row r="182" spans="1:41" s="39" customFormat="1" ht="20.25" customHeight="1">
      <c r="A182" s="32">
        <v>15</v>
      </c>
      <c r="B182" s="137"/>
      <c r="C182" s="20" t="str">
        <f>IF(A182="","VARA",VLOOKUP(A182,'[1]varas'!$A$4:$B$67,2))</f>
        <v>15ª VT Recife</v>
      </c>
      <c r="D182" s="15"/>
      <c r="E182" s="16"/>
      <c r="F182" s="15">
        <f>61+35+15</f>
        <v>111</v>
      </c>
      <c r="G182" s="15">
        <v>4</v>
      </c>
      <c r="H182" s="15">
        <v>31</v>
      </c>
      <c r="I182" s="17">
        <f>SUM(F182:H182)</f>
        <v>146</v>
      </c>
      <c r="J182" s="15">
        <v>28</v>
      </c>
      <c r="K182" s="15">
        <v>21</v>
      </c>
      <c r="L182" s="15">
        <v>0</v>
      </c>
      <c r="M182" s="15">
        <v>15</v>
      </c>
      <c r="N182" s="15">
        <v>0</v>
      </c>
      <c r="O182" s="15">
        <v>35</v>
      </c>
      <c r="P182" s="15">
        <f>SUM(J182:O182)</f>
        <v>99</v>
      </c>
      <c r="Q182" s="15">
        <v>16</v>
      </c>
      <c r="R182" s="15">
        <v>31</v>
      </c>
      <c r="S182" s="15">
        <v>0</v>
      </c>
      <c r="T182" s="15">
        <v>0</v>
      </c>
      <c r="U182" s="15">
        <v>161</v>
      </c>
      <c r="V182" s="18"/>
      <c r="W182" s="18"/>
      <c r="X182" s="30"/>
      <c r="Y182" s="30"/>
      <c r="Z182" s="30"/>
      <c r="AA182" s="30"/>
      <c r="AB182" s="34"/>
      <c r="AC182" s="30"/>
      <c r="AD182" s="30"/>
      <c r="AE182" s="30"/>
      <c r="AF182" s="30"/>
      <c r="AG182" s="30"/>
      <c r="AH182" s="30"/>
      <c r="AI182" s="30"/>
      <c r="AJ182" s="30"/>
      <c r="AK182" s="30"/>
      <c r="AL182" s="30"/>
      <c r="AM182" s="30"/>
      <c r="AN182" s="30"/>
      <c r="AO182" s="30"/>
    </row>
    <row r="183" spans="1:41" s="53" customFormat="1" ht="21" customHeight="1">
      <c r="A183" s="47"/>
      <c r="B183" s="131"/>
      <c r="C183" s="21" t="s">
        <v>12</v>
      </c>
      <c r="D183" s="51"/>
      <c r="E183" s="52"/>
      <c r="F183" s="24">
        <f>SUM(F181:F182)</f>
        <v>111</v>
      </c>
      <c r="G183" s="24">
        <f>SUM(G181:G182)</f>
        <v>4</v>
      </c>
      <c r="H183" s="24">
        <f>SUM(H181:H182)</f>
        <v>31</v>
      </c>
      <c r="I183" s="25">
        <f>SUM(F183:H183)</f>
        <v>146</v>
      </c>
      <c r="J183" s="24">
        <f aca="true" t="shared" si="52" ref="J183:O183">SUM(J181:J182)</f>
        <v>28</v>
      </c>
      <c r="K183" s="24">
        <f t="shared" si="52"/>
        <v>21</v>
      </c>
      <c r="L183" s="24">
        <f t="shared" si="52"/>
        <v>0</v>
      </c>
      <c r="M183" s="24">
        <f t="shared" si="52"/>
        <v>15</v>
      </c>
      <c r="N183" s="24">
        <f t="shared" si="52"/>
        <v>0</v>
      </c>
      <c r="O183" s="24">
        <f t="shared" si="52"/>
        <v>35</v>
      </c>
      <c r="P183" s="24">
        <f>SUM(J183:O183)</f>
        <v>99</v>
      </c>
      <c r="Q183" s="24">
        <f>SUM(Q181:Q182)</f>
        <v>16</v>
      </c>
      <c r="R183" s="24">
        <f>SUM(R181:R182)</f>
        <v>31</v>
      </c>
      <c r="S183" s="24">
        <f>SUM(S181:S182)</f>
        <v>0</v>
      </c>
      <c r="T183" s="24">
        <f>SUM(T181:T182)</f>
        <v>0</v>
      </c>
      <c r="U183" s="24">
        <f>SUM(U181:U182)</f>
        <v>161</v>
      </c>
      <c r="V183" s="26">
        <f>IF(I183-Q183=0,"",IF(D183="",(P183+S183)/(I183-Q183),IF(AND(D183&lt;&gt;"",(P183+S183)/(I183-Q183)&gt;=50%),(P183+S183)/(I183-Q183),"")))</f>
        <v>0.7615384615384615</v>
      </c>
      <c r="W183" s="26">
        <f>IF(I183=O183,"",IF(V183="",0,(P183+Q183+S183-O183)/(I183-O183)))</f>
        <v>0.7207207207207207</v>
      </c>
      <c r="X183" s="49"/>
      <c r="Y183" s="49"/>
      <c r="Z183" s="49"/>
      <c r="AA183" s="49"/>
      <c r="AB183" s="50"/>
      <c r="AC183" s="49"/>
      <c r="AD183" s="49"/>
      <c r="AE183" s="49"/>
      <c r="AF183" s="49"/>
      <c r="AG183" s="49"/>
      <c r="AH183" s="49"/>
      <c r="AI183" s="49"/>
      <c r="AJ183" s="49"/>
      <c r="AK183" s="49"/>
      <c r="AL183" s="49"/>
      <c r="AM183" s="49"/>
      <c r="AN183" s="49"/>
      <c r="AO183" s="49"/>
    </row>
    <row r="184" spans="1:41" s="39" customFormat="1" ht="27.75" customHeight="1">
      <c r="A184" s="32"/>
      <c r="B184" s="138" t="s">
        <v>68</v>
      </c>
      <c r="C184" s="105" t="s">
        <v>2</v>
      </c>
      <c r="D184" s="29"/>
      <c r="E184" s="16" t="s">
        <v>27</v>
      </c>
      <c r="F184" s="15"/>
      <c r="G184" s="15"/>
      <c r="H184" s="15"/>
      <c r="I184" s="17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8"/>
      <c r="W184" s="18"/>
      <c r="X184" s="30"/>
      <c r="Y184" s="30"/>
      <c r="Z184" s="30"/>
      <c r="AA184" s="30"/>
      <c r="AB184" s="34"/>
      <c r="AC184" s="30"/>
      <c r="AD184" s="30"/>
      <c r="AE184" s="30"/>
      <c r="AF184" s="30"/>
      <c r="AG184" s="30"/>
      <c r="AH184" s="30"/>
      <c r="AI184" s="30"/>
      <c r="AJ184" s="30"/>
      <c r="AK184" s="30"/>
      <c r="AL184" s="30"/>
      <c r="AM184" s="30"/>
      <c r="AN184" s="30"/>
      <c r="AO184" s="30"/>
    </row>
    <row r="185" spans="1:41" s="39" customFormat="1" ht="23.25" customHeight="1">
      <c r="A185" s="32">
        <v>28</v>
      </c>
      <c r="B185" s="139"/>
      <c r="C185" s="106" t="str">
        <f>IF(A185="","VARA",VLOOKUP(A185,'[1]varas'!$A$4:$B$67,2))</f>
        <v>1ª VT Caruaru</v>
      </c>
      <c r="D185" s="15"/>
      <c r="E185" s="16"/>
      <c r="F185" s="15">
        <f>27+19+22+3</f>
        <v>71</v>
      </c>
      <c r="G185" s="15">
        <v>1</v>
      </c>
      <c r="H185" s="15">
        <v>0</v>
      </c>
      <c r="I185" s="17">
        <f>SUM(F185:H185)</f>
        <v>72</v>
      </c>
      <c r="J185" s="15">
        <v>19</v>
      </c>
      <c r="K185" s="15">
        <v>0</v>
      </c>
      <c r="L185" s="15">
        <v>22</v>
      </c>
      <c r="M185" s="15">
        <v>3</v>
      </c>
      <c r="N185" s="15">
        <v>0</v>
      </c>
      <c r="O185" s="15">
        <v>19</v>
      </c>
      <c r="P185" s="15">
        <f>SUM(J185:O185)</f>
        <v>63</v>
      </c>
      <c r="Q185" s="15">
        <v>9</v>
      </c>
      <c r="R185" s="15">
        <v>0</v>
      </c>
      <c r="S185" s="15">
        <v>0</v>
      </c>
      <c r="T185" s="15">
        <v>0</v>
      </c>
      <c r="U185" s="15">
        <v>186</v>
      </c>
      <c r="V185" s="18"/>
      <c r="W185" s="18"/>
      <c r="X185" s="30"/>
      <c r="Y185" s="30"/>
      <c r="Z185" s="30"/>
      <c r="AA185" s="30"/>
      <c r="AB185" s="34"/>
      <c r="AC185" s="30"/>
      <c r="AD185" s="30"/>
      <c r="AE185" s="30"/>
      <c r="AF185" s="30"/>
      <c r="AG185" s="30"/>
      <c r="AH185" s="30"/>
      <c r="AI185" s="30"/>
      <c r="AJ185" s="30"/>
      <c r="AK185" s="30"/>
      <c r="AL185" s="30"/>
      <c r="AM185" s="30"/>
      <c r="AN185" s="30"/>
      <c r="AO185" s="30"/>
    </row>
    <row r="186" spans="1:41" s="39" customFormat="1" ht="24" customHeight="1">
      <c r="A186" s="32"/>
      <c r="B186" s="134"/>
      <c r="C186" s="107" t="s">
        <v>12</v>
      </c>
      <c r="D186" s="33"/>
      <c r="E186" s="23"/>
      <c r="F186" s="24">
        <f>SUM(F184:F185)</f>
        <v>71</v>
      </c>
      <c r="G186" s="24">
        <f>SUM(G184:G185)</f>
        <v>1</v>
      </c>
      <c r="H186" s="24">
        <f>SUM(H184:H185)</f>
        <v>0</v>
      </c>
      <c r="I186" s="40">
        <f>SUM(F186:H186)</f>
        <v>72</v>
      </c>
      <c r="J186" s="24">
        <f aca="true" t="shared" si="53" ref="J186:O186">SUM(J184:J185)</f>
        <v>19</v>
      </c>
      <c r="K186" s="24">
        <f t="shared" si="53"/>
        <v>0</v>
      </c>
      <c r="L186" s="24">
        <f t="shared" si="53"/>
        <v>22</v>
      </c>
      <c r="M186" s="24">
        <f t="shared" si="53"/>
        <v>3</v>
      </c>
      <c r="N186" s="24">
        <f t="shared" si="53"/>
        <v>0</v>
      </c>
      <c r="O186" s="24">
        <f t="shared" si="53"/>
        <v>19</v>
      </c>
      <c r="P186" s="24">
        <f>SUM(J186:O186)</f>
        <v>63</v>
      </c>
      <c r="Q186" s="24">
        <f>SUM(Q184:Q185)</f>
        <v>9</v>
      </c>
      <c r="R186" s="24">
        <f>SUM(R184:R185)</f>
        <v>0</v>
      </c>
      <c r="S186" s="24">
        <f>SUM(S184:S185)</f>
        <v>0</v>
      </c>
      <c r="T186" s="24">
        <f>SUM(T184:T185)</f>
        <v>0</v>
      </c>
      <c r="U186" s="24">
        <f>SUM(U184:U185)</f>
        <v>186</v>
      </c>
      <c r="V186" s="26">
        <f>IF(I186-Q186=0,"",IF(D186="",(P186+S186)/(I186-Q186),IF(AND(D186&lt;&gt;"",(P186+S186)/(I186-Q186)&gt;=50%),(P186+S186)/(I186-Q186),"")))</f>
        <v>1</v>
      </c>
      <c r="W186" s="26">
        <f>IF(I186=O186,"",IF(V186="",0,(P186+Q186+S186-O186)/(I186-O186)))</f>
        <v>1</v>
      </c>
      <c r="X186" s="30"/>
      <c r="Y186" s="30"/>
      <c r="Z186" s="30"/>
      <c r="AA186" s="30"/>
      <c r="AB186" s="34"/>
      <c r="AC186" s="30"/>
      <c r="AD186" s="30"/>
      <c r="AE186" s="30"/>
      <c r="AF186" s="30"/>
      <c r="AG186" s="30"/>
      <c r="AH186" s="30"/>
      <c r="AI186" s="30"/>
      <c r="AJ186" s="30"/>
      <c r="AK186" s="30"/>
      <c r="AL186" s="30"/>
      <c r="AM186" s="30"/>
      <c r="AN186" s="30"/>
      <c r="AO186" s="30"/>
    </row>
    <row r="187" spans="1:41" s="39" customFormat="1" ht="25.5" customHeight="1">
      <c r="A187" s="32"/>
      <c r="B187" s="138" t="s">
        <v>69</v>
      </c>
      <c r="C187" s="105" t="s">
        <v>2</v>
      </c>
      <c r="D187" s="29"/>
      <c r="E187" s="16" t="s">
        <v>27</v>
      </c>
      <c r="F187" s="15"/>
      <c r="G187" s="15"/>
      <c r="H187" s="15"/>
      <c r="I187" s="17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8"/>
      <c r="W187" s="18"/>
      <c r="X187" s="30"/>
      <c r="Y187" s="30"/>
      <c r="Z187" s="30"/>
      <c r="AA187" s="30"/>
      <c r="AB187" s="34"/>
      <c r="AC187" s="30"/>
      <c r="AD187" s="30"/>
      <c r="AE187" s="30"/>
      <c r="AF187" s="30"/>
      <c r="AG187" s="30"/>
      <c r="AH187" s="30"/>
      <c r="AI187" s="30"/>
      <c r="AJ187" s="30"/>
      <c r="AK187" s="30"/>
      <c r="AL187" s="30"/>
      <c r="AM187" s="30"/>
      <c r="AN187" s="30"/>
      <c r="AO187" s="30"/>
    </row>
    <row r="188" spans="1:41" s="39" customFormat="1" ht="22.5" customHeight="1">
      <c r="A188" s="32">
        <v>33</v>
      </c>
      <c r="B188" s="139"/>
      <c r="C188" s="106" t="str">
        <f>IF(A188="","VARA",VLOOKUP(A188,'[1]varas'!$A$4:$B$67,2))</f>
        <v>2ª VT Ipojuca</v>
      </c>
      <c r="D188" s="29"/>
      <c r="E188" s="16"/>
      <c r="F188" s="15">
        <f>36+7+14</f>
        <v>57</v>
      </c>
      <c r="G188" s="15">
        <v>7</v>
      </c>
      <c r="H188" s="15">
        <v>25</v>
      </c>
      <c r="I188" s="17">
        <f>SUM(F188:H188)</f>
        <v>89</v>
      </c>
      <c r="J188" s="15">
        <v>53</v>
      </c>
      <c r="K188" s="15">
        <v>12</v>
      </c>
      <c r="L188" s="15">
        <v>14</v>
      </c>
      <c r="M188" s="15">
        <v>0</v>
      </c>
      <c r="N188" s="15">
        <v>0</v>
      </c>
      <c r="O188" s="15">
        <v>7</v>
      </c>
      <c r="P188" s="15">
        <f>SUM(J188:O188)</f>
        <v>86</v>
      </c>
      <c r="Q188" s="15">
        <v>1</v>
      </c>
      <c r="R188" s="15">
        <v>0</v>
      </c>
      <c r="S188" s="15">
        <v>0</v>
      </c>
      <c r="T188" s="15">
        <v>2</v>
      </c>
      <c r="U188" s="15">
        <v>114</v>
      </c>
      <c r="V188" s="18"/>
      <c r="W188" s="18"/>
      <c r="X188" s="30"/>
      <c r="Y188" s="30"/>
      <c r="Z188" s="30"/>
      <c r="AA188" s="30"/>
      <c r="AB188" s="34"/>
      <c r="AC188" s="30"/>
      <c r="AD188" s="30"/>
      <c r="AE188" s="30"/>
      <c r="AF188" s="30"/>
      <c r="AG188" s="30"/>
      <c r="AH188" s="30"/>
      <c r="AI188" s="30"/>
      <c r="AJ188" s="30"/>
      <c r="AK188" s="30"/>
      <c r="AL188" s="30"/>
      <c r="AM188" s="30"/>
      <c r="AN188" s="30"/>
      <c r="AO188" s="30"/>
    </row>
    <row r="189" spans="1:41" s="39" customFormat="1" ht="22.5" customHeight="1">
      <c r="A189" s="32"/>
      <c r="B189" s="134"/>
      <c r="C189" s="107" t="s">
        <v>12</v>
      </c>
      <c r="D189" s="33"/>
      <c r="E189" s="23"/>
      <c r="F189" s="24">
        <f>SUM(F187:F188)</f>
        <v>57</v>
      </c>
      <c r="G189" s="24">
        <f>SUM(G187:G188)</f>
        <v>7</v>
      </c>
      <c r="H189" s="24">
        <f>SUM(H187:H188)</f>
        <v>25</v>
      </c>
      <c r="I189" s="40">
        <f>SUM(F189:H189)</f>
        <v>89</v>
      </c>
      <c r="J189" s="24">
        <f aca="true" t="shared" si="54" ref="J189:O189">SUM(J187:J188)</f>
        <v>53</v>
      </c>
      <c r="K189" s="24">
        <f t="shared" si="54"/>
        <v>12</v>
      </c>
      <c r="L189" s="24">
        <f t="shared" si="54"/>
        <v>14</v>
      </c>
      <c r="M189" s="24">
        <f t="shared" si="54"/>
        <v>0</v>
      </c>
      <c r="N189" s="24">
        <f t="shared" si="54"/>
        <v>0</v>
      </c>
      <c r="O189" s="24">
        <f t="shared" si="54"/>
        <v>7</v>
      </c>
      <c r="P189" s="24">
        <f>SUM(J189:O189)</f>
        <v>86</v>
      </c>
      <c r="Q189" s="24">
        <f>SUM(Q187:Q188)</f>
        <v>1</v>
      </c>
      <c r="R189" s="24">
        <f>SUM(R187:R188)</f>
        <v>0</v>
      </c>
      <c r="S189" s="24">
        <f>SUM(S187:S188)</f>
        <v>0</v>
      </c>
      <c r="T189" s="24">
        <f>SUM(T187:T188)</f>
        <v>2</v>
      </c>
      <c r="U189" s="24">
        <f>SUM(U187:U188)</f>
        <v>114</v>
      </c>
      <c r="V189" s="26">
        <f>IF(I189-Q189=0,"",IF(D189="",(P189+S189)/(I189-Q189),IF(AND(D189&lt;&gt;"",(P189+S189)/(I189-Q189)&gt;=50%),(P189+S189)/(I189-Q189),"")))</f>
        <v>0.9772727272727273</v>
      </c>
      <c r="W189" s="26">
        <f>IF(I189=O189,"",IF(V189="",0,(P189+Q189+S189-O189)/(I189-O189)))</f>
        <v>0.975609756097561</v>
      </c>
      <c r="X189" s="30"/>
      <c r="Y189" s="30"/>
      <c r="Z189" s="30"/>
      <c r="AA189" s="30"/>
      <c r="AB189" s="34"/>
      <c r="AC189" s="30"/>
      <c r="AD189" s="30"/>
      <c r="AE189" s="30"/>
      <c r="AF189" s="30"/>
      <c r="AG189" s="30"/>
      <c r="AH189" s="30"/>
      <c r="AI189" s="30"/>
      <c r="AJ189" s="30"/>
      <c r="AK189" s="30"/>
      <c r="AL189" s="30"/>
      <c r="AM189" s="30"/>
      <c r="AN189" s="30"/>
      <c r="AO189" s="30"/>
    </row>
    <row r="190" spans="1:41" s="39" customFormat="1" ht="26.25" customHeight="1">
      <c r="A190" s="32"/>
      <c r="B190" s="130" t="s">
        <v>70</v>
      </c>
      <c r="C190" s="14" t="s">
        <v>2</v>
      </c>
      <c r="D190" s="29" t="s">
        <v>43</v>
      </c>
      <c r="E190" s="16" t="s">
        <v>217</v>
      </c>
      <c r="F190" s="15"/>
      <c r="G190" s="15"/>
      <c r="H190" s="15"/>
      <c r="I190" s="17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8"/>
      <c r="W190" s="18"/>
      <c r="X190" s="30"/>
      <c r="Y190" s="30"/>
      <c r="Z190" s="30"/>
      <c r="AA190" s="30"/>
      <c r="AB190" s="34"/>
      <c r="AC190" s="30"/>
      <c r="AD190" s="30"/>
      <c r="AE190" s="30"/>
      <c r="AF190" s="30"/>
      <c r="AG190" s="30"/>
      <c r="AH190" s="30"/>
      <c r="AI190" s="30"/>
      <c r="AJ190" s="30"/>
      <c r="AK190" s="30"/>
      <c r="AL190" s="30"/>
      <c r="AM190" s="30"/>
      <c r="AN190" s="30"/>
      <c r="AO190" s="30"/>
    </row>
    <row r="191" spans="1:41" s="39" customFormat="1" ht="22.5" customHeight="1">
      <c r="A191" s="32">
        <v>47</v>
      </c>
      <c r="B191" s="137"/>
      <c r="C191" s="20" t="str">
        <f>IF(A191="","VARA",VLOOKUP(A191,'[1]varas'!$A$4:$B$67,2))</f>
        <v>VT Carpina</v>
      </c>
      <c r="D191" s="15"/>
      <c r="E191" s="16"/>
      <c r="F191" s="15">
        <v>0</v>
      </c>
      <c r="G191" s="15">
        <v>5</v>
      </c>
      <c r="H191" s="15">
        <v>9</v>
      </c>
      <c r="I191" s="17">
        <f>SUM(F191:H191)</f>
        <v>14</v>
      </c>
      <c r="J191" s="15">
        <v>0</v>
      </c>
      <c r="K191" s="15">
        <v>0</v>
      </c>
      <c r="L191" s="15">
        <v>0</v>
      </c>
      <c r="M191" s="15">
        <v>0</v>
      </c>
      <c r="N191" s="15">
        <v>0</v>
      </c>
      <c r="O191" s="15">
        <v>0</v>
      </c>
      <c r="P191" s="15">
        <f>SUM(J191:O191)</f>
        <v>0</v>
      </c>
      <c r="Q191" s="15">
        <v>5</v>
      </c>
      <c r="R191" s="15">
        <v>9</v>
      </c>
      <c r="S191" s="15">
        <v>0</v>
      </c>
      <c r="T191" s="15">
        <v>0</v>
      </c>
      <c r="U191" s="15">
        <v>0</v>
      </c>
      <c r="V191" s="18"/>
      <c r="W191" s="18"/>
      <c r="X191" s="30"/>
      <c r="Y191" s="30"/>
      <c r="Z191" s="30"/>
      <c r="AA191" s="30"/>
      <c r="AB191" s="34"/>
      <c r="AC191" s="30"/>
      <c r="AD191" s="30"/>
      <c r="AE191" s="30"/>
      <c r="AF191" s="30"/>
      <c r="AG191" s="30"/>
      <c r="AH191" s="30"/>
      <c r="AI191" s="30"/>
      <c r="AJ191" s="30"/>
      <c r="AK191" s="30"/>
      <c r="AL191" s="30"/>
      <c r="AM191" s="30"/>
      <c r="AN191" s="30"/>
      <c r="AO191" s="30"/>
    </row>
    <row r="192" spans="1:41" s="53" customFormat="1" ht="24.75" customHeight="1">
      <c r="A192" s="47"/>
      <c r="B192" s="131"/>
      <c r="C192" s="20" t="s">
        <v>12</v>
      </c>
      <c r="D192" s="24"/>
      <c r="E192" s="48"/>
      <c r="F192" s="24">
        <f>SUM(F190:F191)</f>
        <v>0</v>
      </c>
      <c r="G192" s="24">
        <f>SUM(G190:G191)</f>
        <v>5</v>
      </c>
      <c r="H192" s="24">
        <f>SUM(H190:H191)</f>
        <v>9</v>
      </c>
      <c r="I192" s="40">
        <f>SUM(F192:H192)</f>
        <v>14</v>
      </c>
      <c r="J192" s="24">
        <f aca="true" t="shared" si="55" ref="J192:O192">SUM(J190:J191)</f>
        <v>0</v>
      </c>
      <c r="K192" s="24">
        <f t="shared" si="55"/>
        <v>0</v>
      </c>
      <c r="L192" s="24">
        <f t="shared" si="55"/>
        <v>0</v>
      </c>
      <c r="M192" s="24">
        <f t="shared" si="55"/>
        <v>0</v>
      </c>
      <c r="N192" s="24">
        <f t="shared" si="55"/>
        <v>0</v>
      </c>
      <c r="O192" s="24">
        <f t="shared" si="55"/>
        <v>0</v>
      </c>
      <c r="P192" s="24">
        <f>SUM(J192:O192)</f>
        <v>0</v>
      </c>
      <c r="Q192" s="24">
        <f>SUM(Q190:Q191)</f>
        <v>5</v>
      </c>
      <c r="R192" s="24">
        <f>SUM(R190:R191)</f>
        <v>9</v>
      </c>
      <c r="S192" s="24">
        <f>SUM(S190:S191)</f>
        <v>0</v>
      </c>
      <c r="T192" s="24">
        <f>SUM(T190:T191)</f>
        <v>0</v>
      </c>
      <c r="U192" s="24">
        <f>SUM(U190:U191)</f>
        <v>0</v>
      </c>
      <c r="V192" s="26">
        <f>IF(I192-Q192=0,"",IF(D192="",(P192+S192)/(I192-Q192),IF(AND(D192&lt;&gt;"",(P192+S192)/(I192-Q192)&gt;=50%),(P192+S192)/(I192-Q192),"")))</f>
        <v>0</v>
      </c>
      <c r="W192" s="26">
        <f>IF(I192=O192,"",IF(V192="",0,(P192+Q192+S192-O192)/(I192-O192)))</f>
        <v>0.35714285714285715</v>
      </c>
      <c r="X192" s="49"/>
      <c r="Y192" s="49"/>
      <c r="Z192" s="49"/>
      <c r="AA192" s="49"/>
      <c r="AB192" s="50"/>
      <c r="AC192" s="49"/>
      <c r="AD192" s="49"/>
      <c r="AE192" s="49"/>
      <c r="AF192" s="49"/>
      <c r="AG192" s="49"/>
      <c r="AH192" s="49"/>
      <c r="AI192" s="49"/>
      <c r="AJ192" s="49"/>
      <c r="AK192" s="49"/>
      <c r="AL192" s="49"/>
      <c r="AM192" s="49"/>
      <c r="AN192" s="49"/>
      <c r="AO192" s="49"/>
    </row>
    <row r="193" spans="1:41" s="39" customFormat="1" ht="26.25" customHeight="1">
      <c r="A193" s="32"/>
      <c r="B193" s="138" t="s">
        <v>71</v>
      </c>
      <c r="C193" s="105" t="s">
        <v>156</v>
      </c>
      <c r="D193" s="15"/>
      <c r="E193" s="16" t="s">
        <v>27</v>
      </c>
      <c r="F193" s="15"/>
      <c r="G193" s="15"/>
      <c r="H193" s="15"/>
      <c r="I193" s="17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8"/>
      <c r="W193" s="18"/>
      <c r="X193" s="30"/>
      <c r="Y193" s="30"/>
      <c r="Z193" s="30"/>
      <c r="AA193" s="30"/>
      <c r="AB193" s="34"/>
      <c r="AC193" s="30"/>
      <c r="AD193" s="30"/>
      <c r="AE193" s="30"/>
      <c r="AF193" s="30"/>
      <c r="AG193" s="30"/>
      <c r="AH193" s="30"/>
      <c r="AI193" s="30"/>
      <c r="AJ193" s="30"/>
      <c r="AK193" s="30"/>
      <c r="AL193" s="30"/>
      <c r="AM193" s="30"/>
      <c r="AN193" s="30"/>
      <c r="AO193" s="30"/>
    </row>
    <row r="194" spans="1:41" s="39" customFormat="1" ht="22.5" customHeight="1">
      <c r="A194" s="32">
        <v>5</v>
      </c>
      <c r="B194" s="139"/>
      <c r="C194" s="106" t="str">
        <f>IF(A194="","VARA",VLOOKUP(A194,'[1]varas'!$A$4:$B$67,2))</f>
        <v>5ª VT Recife</v>
      </c>
      <c r="D194" s="15"/>
      <c r="E194" s="16"/>
      <c r="F194" s="15">
        <f>39+25+9+3</f>
        <v>76</v>
      </c>
      <c r="G194" s="15">
        <v>6</v>
      </c>
      <c r="H194" s="15">
        <v>0</v>
      </c>
      <c r="I194" s="17">
        <f>SUM(F194:H194)</f>
        <v>82</v>
      </c>
      <c r="J194" s="15">
        <v>14</v>
      </c>
      <c r="K194" s="15">
        <v>1</v>
      </c>
      <c r="L194" s="15">
        <v>9</v>
      </c>
      <c r="M194" s="15">
        <v>3</v>
      </c>
      <c r="N194" s="15">
        <v>0</v>
      </c>
      <c r="O194" s="15">
        <v>25</v>
      </c>
      <c r="P194" s="15">
        <f>SUM(J194:O194)</f>
        <v>52</v>
      </c>
      <c r="Q194" s="15">
        <v>16</v>
      </c>
      <c r="R194" s="15">
        <v>14</v>
      </c>
      <c r="S194" s="15">
        <v>0</v>
      </c>
      <c r="T194" s="15">
        <v>0</v>
      </c>
      <c r="U194" s="15">
        <v>186</v>
      </c>
      <c r="V194" s="18"/>
      <c r="W194" s="18"/>
      <c r="X194" s="30"/>
      <c r="Y194" s="30"/>
      <c r="Z194" s="30"/>
      <c r="AA194" s="30"/>
      <c r="AB194" s="34"/>
      <c r="AC194" s="30"/>
      <c r="AD194" s="30"/>
      <c r="AE194" s="30"/>
      <c r="AF194" s="30"/>
      <c r="AG194" s="30"/>
      <c r="AH194" s="30"/>
      <c r="AI194" s="30"/>
      <c r="AJ194" s="30"/>
      <c r="AK194" s="30"/>
      <c r="AL194" s="30"/>
      <c r="AM194" s="30"/>
      <c r="AN194" s="30"/>
      <c r="AO194" s="30"/>
    </row>
    <row r="195" spans="1:41" s="39" customFormat="1" ht="21" customHeight="1">
      <c r="A195" s="32"/>
      <c r="B195" s="134"/>
      <c r="C195" s="107" t="s">
        <v>12</v>
      </c>
      <c r="D195" s="33"/>
      <c r="E195" s="23"/>
      <c r="F195" s="24">
        <f>SUM(F193:F194)</f>
        <v>76</v>
      </c>
      <c r="G195" s="24">
        <f>SUM(G193:G194)</f>
        <v>6</v>
      </c>
      <c r="H195" s="24">
        <f>SUM(H193:H194)</f>
        <v>0</v>
      </c>
      <c r="I195" s="25">
        <f>SUM(F195:H195)</f>
        <v>82</v>
      </c>
      <c r="J195" s="24">
        <f aca="true" t="shared" si="56" ref="J195:O195">SUM(J193:J194)</f>
        <v>14</v>
      </c>
      <c r="K195" s="24">
        <f t="shared" si="56"/>
        <v>1</v>
      </c>
      <c r="L195" s="24">
        <f t="shared" si="56"/>
        <v>9</v>
      </c>
      <c r="M195" s="24">
        <f t="shared" si="56"/>
        <v>3</v>
      </c>
      <c r="N195" s="24">
        <f t="shared" si="56"/>
        <v>0</v>
      </c>
      <c r="O195" s="24">
        <f t="shared" si="56"/>
        <v>25</v>
      </c>
      <c r="P195" s="24">
        <f>SUM(J195:O195)</f>
        <v>52</v>
      </c>
      <c r="Q195" s="24">
        <f>SUM(Q193:Q194)</f>
        <v>16</v>
      </c>
      <c r="R195" s="24">
        <f>SUM(R193:R194)</f>
        <v>14</v>
      </c>
      <c r="S195" s="24">
        <f>SUM(S193:S194)</f>
        <v>0</v>
      </c>
      <c r="T195" s="24">
        <f>SUM(T193:T194)</f>
        <v>0</v>
      </c>
      <c r="U195" s="24">
        <f>SUM(U193:U194)</f>
        <v>186</v>
      </c>
      <c r="V195" s="26">
        <f>IF(I195-Q195=0,"",IF(D195="",(P195+S195)/(I195-Q195),IF(AND(D195&lt;&gt;"",(P195+S195)/(I195-Q195)&gt;=50%),(P195+S195)/(I195-Q195),"")))</f>
        <v>0.7878787878787878</v>
      </c>
      <c r="W195" s="26">
        <f>IF(I195=O195,"",IF(V195="",0,(P195+Q195+S195-O195)/(I195-O195)))</f>
        <v>0.7543859649122807</v>
      </c>
      <c r="X195" s="30"/>
      <c r="Y195" s="30"/>
      <c r="Z195" s="30"/>
      <c r="AA195" s="30"/>
      <c r="AB195" s="34"/>
      <c r="AC195" s="30"/>
      <c r="AD195" s="30"/>
      <c r="AE195" s="30"/>
      <c r="AF195" s="30"/>
      <c r="AG195" s="30"/>
      <c r="AH195" s="30"/>
      <c r="AI195" s="30"/>
      <c r="AJ195" s="30"/>
      <c r="AK195" s="30"/>
      <c r="AL195" s="30"/>
      <c r="AM195" s="30"/>
      <c r="AN195" s="30"/>
      <c r="AO195" s="30"/>
    </row>
    <row r="196" spans="1:41" s="39" customFormat="1" ht="21.75" customHeight="1">
      <c r="A196" s="32"/>
      <c r="B196" s="138" t="s">
        <v>187</v>
      </c>
      <c r="C196" s="105" t="s">
        <v>154</v>
      </c>
      <c r="D196" s="29" t="s">
        <v>190</v>
      </c>
      <c r="E196" s="16" t="s">
        <v>218</v>
      </c>
      <c r="F196" s="15"/>
      <c r="G196" s="15"/>
      <c r="H196" s="15"/>
      <c r="I196" s="17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8"/>
      <c r="W196" s="18"/>
      <c r="X196" s="30"/>
      <c r="Y196" s="30"/>
      <c r="Z196" s="30"/>
      <c r="AA196" s="30"/>
      <c r="AB196" s="34"/>
      <c r="AC196" s="30"/>
      <c r="AD196" s="30"/>
      <c r="AE196" s="30"/>
      <c r="AF196" s="30"/>
      <c r="AG196" s="30"/>
      <c r="AH196" s="30"/>
      <c r="AI196" s="30"/>
      <c r="AJ196" s="30"/>
      <c r="AK196" s="30"/>
      <c r="AL196" s="30"/>
      <c r="AM196" s="30"/>
      <c r="AN196" s="30"/>
      <c r="AO196" s="30"/>
    </row>
    <row r="197" spans="1:41" s="39" customFormat="1" ht="21" customHeight="1">
      <c r="A197" s="32">
        <v>12</v>
      </c>
      <c r="B197" s="139"/>
      <c r="C197" s="106" t="str">
        <f>IF(A197="","VARA",VLOOKUP(A197,'[1]varas'!$A$4:$B$67,2))</f>
        <v>12ª VT Recife</v>
      </c>
      <c r="D197" s="29"/>
      <c r="E197" s="16"/>
      <c r="F197" s="15">
        <f>29+20+3</f>
        <v>52</v>
      </c>
      <c r="G197" s="15">
        <v>8</v>
      </c>
      <c r="H197" s="15">
        <v>18</v>
      </c>
      <c r="I197" s="17">
        <f>SUM(F197:H197)</f>
        <v>78</v>
      </c>
      <c r="J197" s="15">
        <v>22</v>
      </c>
      <c r="K197" s="15">
        <v>6</v>
      </c>
      <c r="L197" s="15">
        <v>3</v>
      </c>
      <c r="M197" s="15">
        <v>0</v>
      </c>
      <c r="N197" s="15">
        <v>0</v>
      </c>
      <c r="O197" s="15">
        <v>20</v>
      </c>
      <c r="P197" s="15">
        <f>SUM(J197:O197)</f>
        <v>51</v>
      </c>
      <c r="Q197" s="15">
        <v>6</v>
      </c>
      <c r="R197" s="15">
        <v>21</v>
      </c>
      <c r="S197" s="15">
        <v>0</v>
      </c>
      <c r="T197" s="15">
        <v>0</v>
      </c>
      <c r="U197" s="15">
        <v>93</v>
      </c>
      <c r="V197" s="18"/>
      <c r="W197" s="18"/>
      <c r="X197" s="30"/>
      <c r="Y197" s="30"/>
      <c r="Z197" s="30"/>
      <c r="AA197" s="30"/>
      <c r="AB197" s="34"/>
      <c r="AC197" s="30"/>
      <c r="AD197" s="30"/>
      <c r="AE197" s="30"/>
      <c r="AF197" s="30"/>
      <c r="AG197" s="30"/>
      <c r="AH197" s="30"/>
      <c r="AI197" s="30"/>
      <c r="AJ197" s="30"/>
      <c r="AK197" s="30"/>
      <c r="AL197" s="30"/>
      <c r="AM197" s="30"/>
      <c r="AN197" s="30"/>
      <c r="AO197" s="30"/>
    </row>
    <row r="198" spans="1:41" s="53" customFormat="1" ht="20.25" customHeight="1">
      <c r="A198" s="47"/>
      <c r="B198" s="134"/>
      <c r="C198" s="107" t="s">
        <v>12</v>
      </c>
      <c r="D198" s="51"/>
      <c r="E198" s="52"/>
      <c r="F198" s="24">
        <f>SUM(F196:F197)</f>
        <v>52</v>
      </c>
      <c r="G198" s="24">
        <f>SUM(G196:G197)</f>
        <v>8</v>
      </c>
      <c r="H198" s="24">
        <f>SUM(H196:H197)</f>
        <v>18</v>
      </c>
      <c r="I198" s="25">
        <f>SUM(F198:H198)</f>
        <v>78</v>
      </c>
      <c r="J198" s="24">
        <f aca="true" t="shared" si="57" ref="J198:O198">SUM(J196:J197)</f>
        <v>22</v>
      </c>
      <c r="K198" s="24">
        <f t="shared" si="57"/>
        <v>6</v>
      </c>
      <c r="L198" s="24">
        <f t="shared" si="57"/>
        <v>3</v>
      </c>
      <c r="M198" s="24">
        <f t="shared" si="57"/>
        <v>0</v>
      </c>
      <c r="N198" s="24">
        <f t="shared" si="57"/>
        <v>0</v>
      </c>
      <c r="O198" s="24">
        <f t="shared" si="57"/>
        <v>20</v>
      </c>
      <c r="P198" s="24">
        <f>SUM(J198:O198)</f>
        <v>51</v>
      </c>
      <c r="Q198" s="24">
        <f>SUM(Q196:Q197)</f>
        <v>6</v>
      </c>
      <c r="R198" s="24">
        <f>SUM(R196:R197)</f>
        <v>21</v>
      </c>
      <c r="S198" s="24">
        <f>SUM(S196:S197)</f>
        <v>0</v>
      </c>
      <c r="T198" s="24">
        <f>SUM(T196:T197)</f>
        <v>0</v>
      </c>
      <c r="U198" s="24">
        <f>SUM(U196:U197)</f>
        <v>93</v>
      </c>
      <c r="V198" s="26">
        <f>IF(I198-Q198=0,"",IF(D198="",(P198+S198)/(I198-Q198),IF(AND(D198&lt;&gt;"",(P198+S198)/(I198-Q198)&gt;=50%),(P198+S198)/(I198-Q198),"")))</f>
        <v>0.7083333333333334</v>
      </c>
      <c r="W198" s="26">
        <f>IF(I198=O198,"",IF(V198="",0,(P198+Q198+S198-O198)/(I198-O198)))</f>
        <v>0.6379310344827587</v>
      </c>
      <c r="X198" s="49"/>
      <c r="Y198" s="49"/>
      <c r="Z198" s="49"/>
      <c r="AA198" s="49"/>
      <c r="AB198" s="50"/>
      <c r="AC198" s="49"/>
      <c r="AD198" s="49"/>
      <c r="AE198" s="49"/>
      <c r="AF198" s="49"/>
      <c r="AG198" s="49"/>
      <c r="AH198" s="49"/>
      <c r="AI198" s="49"/>
      <c r="AJ198" s="49"/>
      <c r="AK198" s="49"/>
      <c r="AL198" s="49"/>
      <c r="AM198" s="49"/>
      <c r="AN198" s="49"/>
      <c r="AO198" s="49"/>
    </row>
    <row r="199" spans="1:41" s="39" customFormat="1" ht="21.75" customHeight="1">
      <c r="A199" s="32"/>
      <c r="B199" s="130" t="s">
        <v>72</v>
      </c>
      <c r="C199" s="14" t="s">
        <v>156</v>
      </c>
      <c r="D199" s="29" t="s">
        <v>30</v>
      </c>
      <c r="E199" s="16" t="s">
        <v>208</v>
      </c>
      <c r="F199" s="15"/>
      <c r="G199" s="15"/>
      <c r="H199" s="15"/>
      <c r="I199" s="17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8"/>
      <c r="W199" s="18"/>
      <c r="X199" s="30"/>
      <c r="Y199" s="30"/>
      <c r="Z199" s="30"/>
      <c r="AA199" s="30"/>
      <c r="AB199" s="34"/>
      <c r="AC199" s="30"/>
      <c r="AD199" s="30"/>
      <c r="AE199" s="30"/>
      <c r="AF199" s="30"/>
      <c r="AG199" s="30"/>
      <c r="AH199" s="30"/>
      <c r="AI199" s="30"/>
      <c r="AJ199" s="30"/>
      <c r="AK199" s="30"/>
      <c r="AL199" s="30"/>
      <c r="AM199" s="30"/>
      <c r="AN199" s="30"/>
      <c r="AO199" s="30"/>
    </row>
    <row r="200" spans="1:41" s="39" customFormat="1" ht="19.5" customHeight="1">
      <c r="A200" s="32">
        <v>31</v>
      </c>
      <c r="B200" s="137"/>
      <c r="C200" s="20" t="str">
        <f>IF(A200="","VARA",VLOOKUP(A200,'[1]varas'!$A$4:$B$67,2))</f>
        <v>1ª VT Igarassu</v>
      </c>
      <c r="D200" s="15"/>
      <c r="E200" s="16"/>
      <c r="F200" s="15">
        <f>14+16+3</f>
        <v>33</v>
      </c>
      <c r="G200" s="15">
        <v>1</v>
      </c>
      <c r="H200" s="15">
        <v>0</v>
      </c>
      <c r="I200" s="17">
        <f>SUM(F200:H200)</f>
        <v>34</v>
      </c>
      <c r="J200" s="15">
        <v>12</v>
      </c>
      <c r="K200" s="15">
        <v>3</v>
      </c>
      <c r="L200" s="15">
        <v>2</v>
      </c>
      <c r="M200" s="15">
        <v>1</v>
      </c>
      <c r="N200" s="15">
        <v>0</v>
      </c>
      <c r="O200" s="15">
        <v>16</v>
      </c>
      <c r="P200" s="15">
        <f>SUM(J200:O200)</f>
        <v>34</v>
      </c>
      <c r="Q200" s="15">
        <v>0</v>
      </c>
      <c r="R200" s="15">
        <v>0</v>
      </c>
      <c r="S200" s="15">
        <v>0</v>
      </c>
      <c r="T200" s="15">
        <v>0</v>
      </c>
      <c r="U200" s="15">
        <v>47</v>
      </c>
      <c r="V200" s="18"/>
      <c r="W200" s="18"/>
      <c r="X200" s="30"/>
      <c r="Y200" s="30"/>
      <c r="Z200" s="30"/>
      <c r="AA200" s="30"/>
      <c r="AB200" s="34"/>
      <c r="AC200" s="30"/>
      <c r="AD200" s="30"/>
      <c r="AE200" s="30"/>
      <c r="AF200" s="30"/>
      <c r="AG200" s="30"/>
      <c r="AH200" s="30"/>
      <c r="AI200" s="30"/>
      <c r="AJ200" s="30"/>
      <c r="AK200" s="30"/>
      <c r="AL200" s="30"/>
      <c r="AM200" s="30"/>
      <c r="AN200" s="30"/>
      <c r="AO200" s="30"/>
    </row>
    <row r="201" spans="1:41" s="53" customFormat="1" ht="20.25" customHeight="1">
      <c r="A201" s="47"/>
      <c r="B201" s="131"/>
      <c r="C201" s="21" t="s">
        <v>12</v>
      </c>
      <c r="D201" s="51"/>
      <c r="E201" s="52"/>
      <c r="F201" s="24">
        <f>SUM(F199:F200)</f>
        <v>33</v>
      </c>
      <c r="G201" s="24">
        <f>SUM(G199:G200)</f>
        <v>1</v>
      </c>
      <c r="H201" s="24">
        <f>SUM(H199:H200)</f>
        <v>0</v>
      </c>
      <c r="I201" s="25">
        <f>SUM(F201:H201)</f>
        <v>34</v>
      </c>
      <c r="J201" s="24">
        <f aca="true" t="shared" si="58" ref="J201:O201">SUM(J199:J200)</f>
        <v>12</v>
      </c>
      <c r="K201" s="24">
        <f t="shared" si="58"/>
        <v>3</v>
      </c>
      <c r="L201" s="24">
        <f t="shared" si="58"/>
        <v>2</v>
      </c>
      <c r="M201" s="24">
        <f t="shared" si="58"/>
        <v>1</v>
      </c>
      <c r="N201" s="24">
        <f t="shared" si="58"/>
        <v>0</v>
      </c>
      <c r="O201" s="24">
        <f t="shared" si="58"/>
        <v>16</v>
      </c>
      <c r="P201" s="24">
        <f>SUM(J201:O201)</f>
        <v>34</v>
      </c>
      <c r="Q201" s="24">
        <f>SUM(Q199:Q200)</f>
        <v>0</v>
      </c>
      <c r="R201" s="24">
        <f>SUM(R199:R200)</f>
        <v>0</v>
      </c>
      <c r="S201" s="24">
        <f>SUM(S199:S200)</f>
        <v>0</v>
      </c>
      <c r="T201" s="24">
        <f>SUM(T199:T200)</f>
        <v>0</v>
      </c>
      <c r="U201" s="24">
        <f>SUM(U199:U200)</f>
        <v>47</v>
      </c>
      <c r="V201" s="26">
        <f>IF(I201-Q201=0,"",IF(D201="",(P201+S201)/(I201-Q201),IF(AND(D201&lt;&gt;"",(P201+S201)/(I201-Q201)&gt;=50%),(P201+S201)/(I201-Q201),"")))</f>
        <v>1</v>
      </c>
      <c r="W201" s="26">
        <f>IF(I201=O201,"",IF(V201="",0,(P201+Q201+S201-O201)/(I201-O201)))</f>
        <v>1</v>
      </c>
      <c r="X201" s="49"/>
      <c r="Y201" s="49"/>
      <c r="Z201" s="49"/>
      <c r="AA201" s="49"/>
      <c r="AB201" s="50"/>
      <c r="AC201" s="49"/>
      <c r="AD201" s="49"/>
      <c r="AE201" s="49"/>
      <c r="AF201" s="49"/>
      <c r="AG201" s="49"/>
      <c r="AH201" s="49"/>
      <c r="AI201" s="49"/>
      <c r="AJ201" s="49"/>
      <c r="AK201" s="49"/>
      <c r="AL201" s="49"/>
      <c r="AM201" s="49"/>
      <c r="AN201" s="49"/>
      <c r="AO201" s="49"/>
    </row>
    <row r="202" spans="1:41" s="39" customFormat="1" ht="24" customHeight="1">
      <c r="A202" s="32"/>
      <c r="B202" s="138" t="s">
        <v>73</v>
      </c>
      <c r="C202" s="105" t="s">
        <v>154</v>
      </c>
      <c r="D202" s="29" t="s">
        <v>30</v>
      </c>
      <c r="E202" s="16" t="s">
        <v>207</v>
      </c>
      <c r="F202" s="15"/>
      <c r="G202" s="15"/>
      <c r="H202" s="15"/>
      <c r="I202" s="17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8"/>
      <c r="W202" s="18"/>
      <c r="X202" s="30"/>
      <c r="Y202" s="30"/>
      <c r="Z202" s="30"/>
      <c r="AA202" s="30"/>
      <c r="AB202" s="34"/>
      <c r="AC202" s="30"/>
      <c r="AD202" s="30"/>
      <c r="AE202" s="30"/>
      <c r="AF202" s="30"/>
      <c r="AG202" s="30"/>
      <c r="AH202" s="30"/>
      <c r="AI202" s="30"/>
      <c r="AJ202" s="30"/>
      <c r="AK202" s="30"/>
      <c r="AL202" s="30"/>
      <c r="AM202" s="30"/>
      <c r="AN202" s="30"/>
      <c r="AO202" s="30"/>
    </row>
    <row r="203" spans="1:41" s="39" customFormat="1" ht="22.5" customHeight="1">
      <c r="A203" s="32">
        <v>2</v>
      </c>
      <c r="B203" s="139"/>
      <c r="C203" s="106" t="str">
        <f>IF(A203="","VARA",VLOOKUP(A203,'[1]varas'!$A$4:$B$67,2))</f>
        <v>2ª VT Recife</v>
      </c>
      <c r="D203" s="29"/>
      <c r="E203" s="16"/>
      <c r="F203" s="15">
        <f>17+38</f>
        <v>55</v>
      </c>
      <c r="G203" s="15">
        <v>0</v>
      </c>
      <c r="H203" s="15">
        <v>6</v>
      </c>
      <c r="I203" s="17">
        <f>SUM(F203:H203)</f>
        <v>61</v>
      </c>
      <c r="J203" s="15">
        <v>5</v>
      </c>
      <c r="K203" s="15">
        <v>0</v>
      </c>
      <c r="L203" s="15">
        <v>38</v>
      </c>
      <c r="M203" s="15">
        <v>0</v>
      </c>
      <c r="N203" s="15">
        <v>0</v>
      </c>
      <c r="O203" s="15">
        <v>0</v>
      </c>
      <c r="P203" s="15">
        <f>SUM(J203:O203)</f>
        <v>43</v>
      </c>
      <c r="Q203" s="15">
        <v>0</v>
      </c>
      <c r="R203" s="15">
        <v>18</v>
      </c>
      <c r="S203" s="15">
        <v>0</v>
      </c>
      <c r="T203" s="15">
        <v>0</v>
      </c>
      <c r="U203" s="15">
        <v>0</v>
      </c>
      <c r="V203" s="18"/>
      <c r="W203" s="18"/>
      <c r="X203" s="30"/>
      <c r="Y203" s="30"/>
      <c r="Z203" s="30"/>
      <c r="AA203" s="30"/>
      <c r="AB203" s="34"/>
      <c r="AC203" s="30"/>
      <c r="AD203" s="30"/>
      <c r="AE203" s="30"/>
      <c r="AF203" s="30"/>
      <c r="AG203" s="30"/>
      <c r="AH203" s="30"/>
      <c r="AI203" s="30"/>
      <c r="AJ203" s="30"/>
      <c r="AK203" s="30"/>
      <c r="AL203" s="30"/>
      <c r="AM203" s="30"/>
      <c r="AN203" s="30"/>
      <c r="AO203" s="30"/>
    </row>
    <row r="204" spans="1:41" s="53" customFormat="1" ht="19.5" customHeight="1">
      <c r="A204" s="47"/>
      <c r="B204" s="134"/>
      <c r="C204" s="106" t="s">
        <v>12</v>
      </c>
      <c r="D204" s="24"/>
      <c r="E204" s="48"/>
      <c r="F204" s="24">
        <f>SUM(F202:F203)</f>
        <v>55</v>
      </c>
      <c r="G204" s="24">
        <f>SUM(G202:G203)</f>
        <v>0</v>
      </c>
      <c r="H204" s="24">
        <f>SUM(H202:H203)</f>
        <v>6</v>
      </c>
      <c r="I204" s="40">
        <f>SUM(F204:H204)</f>
        <v>61</v>
      </c>
      <c r="J204" s="24">
        <f aca="true" t="shared" si="59" ref="J204:O204">SUM(J202:J203)</f>
        <v>5</v>
      </c>
      <c r="K204" s="24">
        <f t="shared" si="59"/>
        <v>0</v>
      </c>
      <c r="L204" s="24">
        <f t="shared" si="59"/>
        <v>38</v>
      </c>
      <c r="M204" s="24">
        <f t="shared" si="59"/>
        <v>0</v>
      </c>
      <c r="N204" s="24">
        <f t="shared" si="59"/>
        <v>0</v>
      </c>
      <c r="O204" s="24">
        <f t="shared" si="59"/>
        <v>0</v>
      </c>
      <c r="P204" s="24">
        <f>SUM(J204:O204)</f>
        <v>43</v>
      </c>
      <c r="Q204" s="24">
        <f>SUM(Q202:Q203)</f>
        <v>0</v>
      </c>
      <c r="R204" s="24">
        <f>SUM(R202:R203)</f>
        <v>18</v>
      </c>
      <c r="S204" s="24">
        <f>SUM(S202:S203)</f>
        <v>0</v>
      </c>
      <c r="T204" s="24">
        <f>SUM(T202:T203)</f>
        <v>0</v>
      </c>
      <c r="U204" s="24">
        <f>SUM(U202:U203)</f>
        <v>0</v>
      </c>
      <c r="V204" s="26">
        <f>IF(I204-Q204=0,"",IF(D204="",(P204+S204)/(I204-Q204),IF(AND(D204&lt;&gt;"",(P204+S204)/(I204-Q204)&gt;=50%),(P204+S204)/(I204-Q204),"")))</f>
        <v>0.7049180327868853</v>
      </c>
      <c r="W204" s="26">
        <f>IF(I204=O204,"",IF(V204="",0,(P204+Q204+S204-O204)/(I204-O204)))</f>
        <v>0.7049180327868853</v>
      </c>
      <c r="X204" s="49"/>
      <c r="Y204" s="49"/>
      <c r="Z204" s="49"/>
      <c r="AA204" s="49"/>
      <c r="AB204" s="50"/>
      <c r="AC204" s="49"/>
      <c r="AD204" s="49"/>
      <c r="AE204" s="49"/>
      <c r="AF204" s="49"/>
      <c r="AG204" s="49"/>
      <c r="AH204" s="49"/>
      <c r="AI204" s="49"/>
      <c r="AJ204" s="49"/>
      <c r="AK204" s="49"/>
      <c r="AL204" s="49"/>
      <c r="AM204" s="49"/>
      <c r="AN204" s="49"/>
      <c r="AO204" s="49"/>
    </row>
    <row r="205" spans="1:41" s="39" customFormat="1" ht="24.75" customHeight="1">
      <c r="A205" s="32"/>
      <c r="B205" s="130" t="s">
        <v>74</v>
      </c>
      <c r="C205" s="14" t="s">
        <v>156</v>
      </c>
      <c r="D205" s="29"/>
      <c r="E205" s="16" t="s">
        <v>27</v>
      </c>
      <c r="F205" s="15"/>
      <c r="G205" s="15"/>
      <c r="H205" s="15"/>
      <c r="I205" s="17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8"/>
      <c r="W205" s="18"/>
      <c r="X205" s="30"/>
      <c r="Y205" s="30"/>
      <c r="Z205" s="30"/>
      <c r="AA205" s="30"/>
      <c r="AB205" s="34"/>
      <c r="AC205" s="30"/>
      <c r="AD205" s="30"/>
      <c r="AE205" s="30"/>
      <c r="AF205" s="30"/>
      <c r="AG205" s="30"/>
      <c r="AH205" s="30"/>
      <c r="AI205" s="30"/>
      <c r="AJ205" s="30"/>
      <c r="AK205" s="30"/>
      <c r="AL205" s="30"/>
      <c r="AM205" s="30"/>
      <c r="AN205" s="30"/>
      <c r="AO205" s="30"/>
    </row>
    <row r="206" spans="1:41" s="39" customFormat="1" ht="21.75" customHeight="1">
      <c r="A206" s="32">
        <v>38</v>
      </c>
      <c r="B206" s="137"/>
      <c r="C206" s="20" t="str">
        <f>IF(A206="","VARA",VLOOKUP(A206,'[1]varas'!$A$4:$B$67,2))</f>
        <v>1ª VT Olinda</v>
      </c>
      <c r="D206" s="15"/>
      <c r="E206" s="16"/>
      <c r="F206" s="15">
        <v>30</v>
      </c>
      <c r="G206" s="15">
        <v>0</v>
      </c>
      <c r="H206" s="15">
        <v>2</v>
      </c>
      <c r="I206" s="17">
        <f>SUM(F206:H206)</f>
        <v>32</v>
      </c>
      <c r="J206" s="15">
        <v>0</v>
      </c>
      <c r="K206" s="15">
        <v>0</v>
      </c>
      <c r="L206" s="15">
        <v>2</v>
      </c>
      <c r="M206" s="15">
        <v>0</v>
      </c>
      <c r="N206" s="15">
        <v>0</v>
      </c>
      <c r="O206" s="15">
        <v>18</v>
      </c>
      <c r="P206" s="15">
        <f>SUM(J206:O206)</f>
        <v>20</v>
      </c>
      <c r="Q206" s="15">
        <v>0</v>
      </c>
      <c r="R206" s="15">
        <v>12</v>
      </c>
      <c r="S206" s="15">
        <v>0</v>
      </c>
      <c r="T206" s="15">
        <v>0</v>
      </c>
      <c r="U206" s="15">
        <v>119</v>
      </c>
      <c r="V206" s="18"/>
      <c r="W206" s="18"/>
      <c r="X206" s="30"/>
      <c r="Y206" s="30"/>
      <c r="Z206" s="30"/>
      <c r="AA206" s="30"/>
      <c r="AB206" s="34"/>
      <c r="AC206" s="30"/>
      <c r="AD206" s="30"/>
      <c r="AE206" s="30"/>
      <c r="AF206" s="30"/>
      <c r="AG206" s="30"/>
      <c r="AH206" s="30"/>
      <c r="AI206" s="30"/>
      <c r="AJ206" s="30"/>
      <c r="AK206" s="30"/>
      <c r="AL206" s="30"/>
      <c r="AM206" s="30"/>
      <c r="AN206" s="30"/>
      <c r="AO206" s="30"/>
    </row>
    <row r="207" spans="1:41" s="39" customFormat="1" ht="23.25" customHeight="1">
      <c r="A207" s="32">
        <v>39</v>
      </c>
      <c r="B207" s="137"/>
      <c r="C207" s="20" t="str">
        <f>IF(A207="","VARA",VLOOKUP(A207,'[1]varas'!$A$4:$B$67,2))</f>
        <v>2ª VT Olinda</v>
      </c>
      <c r="D207" s="15"/>
      <c r="E207" s="16"/>
      <c r="F207" s="15">
        <v>1</v>
      </c>
      <c r="G207" s="15">
        <v>0</v>
      </c>
      <c r="H207" s="15">
        <v>0</v>
      </c>
      <c r="I207" s="17">
        <f>SUM(F207:H207)</f>
        <v>1</v>
      </c>
      <c r="J207" s="15">
        <v>1</v>
      </c>
      <c r="K207" s="15">
        <v>0</v>
      </c>
      <c r="L207" s="15">
        <v>0</v>
      </c>
      <c r="M207" s="15">
        <v>0</v>
      </c>
      <c r="N207" s="15">
        <v>0</v>
      </c>
      <c r="O207" s="15">
        <v>0</v>
      </c>
      <c r="P207" s="15">
        <f>SUM(J207:O207)</f>
        <v>1</v>
      </c>
      <c r="Q207" s="15">
        <v>0</v>
      </c>
      <c r="R207" s="15">
        <v>0</v>
      </c>
      <c r="S207" s="15">
        <v>0</v>
      </c>
      <c r="T207" s="15">
        <v>0</v>
      </c>
      <c r="U207" s="15">
        <v>3</v>
      </c>
      <c r="V207" s="18"/>
      <c r="W207" s="18"/>
      <c r="X207" s="30"/>
      <c r="Y207" s="30"/>
      <c r="Z207" s="30"/>
      <c r="AA207" s="30"/>
      <c r="AB207" s="34"/>
      <c r="AC207" s="30"/>
      <c r="AD207" s="30"/>
      <c r="AE207" s="30"/>
      <c r="AF207" s="30"/>
      <c r="AG207" s="30"/>
      <c r="AH207" s="30"/>
      <c r="AI207" s="30"/>
      <c r="AJ207" s="30"/>
      <c r="AK207" s="30"/>
      <c r="AL207" s="30"/>
      <c r="AM207" s="30"/>
      <c r="AN207" s="30"/>
      <c r="AO207" s="30"/>
    </row>
    <row r="208" spans="1:41" s="39" customFormat="1" ht="17.25" customHeight="1">
      <c r="A208" s="32">
        <v>40</v>
      </c>
      <c r="B208" s="137"/>
      <c r="C208" s="20" t="str">
        <f>IF(A208="","VARA",VLOOKUP(A208,'[1]varas'!$A$4:$B$67,2))</f>
        <v>3ª VT Olinda</v>
      </c>
      <c r="D208" s="15"/>
      <c r="E208" s="16"/>
      <c r="F208" s="15">
        <f>9+12+5</f>
        <v>26</v>
      </c>
      <c r="G208" s="15">
        <v>0</v>
      </c>
      <c r="H208" s="15">
        <v>9</v>
      </c>
      <c r="I208" s="17">
        <f>SUM(F208:H208)</f>
        <v>35</v>
      </c>
      <c r="J208" s="15">
        <v>11</v>
      </c>
      <c r="K208" s="15">
        <v>1</v>
      </c>
      <c r="L208" s="15">
        <v>5</v>
      </c>
      <c r="M208" s="15">
        <v>0</v>
      </c>
      <c r="N208" s="15">
        <v>0</v>
      </c>
      <c r="O208" s="15">
        <v>12</v>
      </c>
      <c r="P208" s="15">
        <f>SUM(J208:O208)</f>
        <v>29</v>
      </c>
      <c r="Q208" s="15">
        <v>0</v>
      </c>
      <c r="R208" s="15">
        <v>6</v>
      </c>
      <c r="S208" s="15">
        <v>0</v>
      </c>
      <c r="T208" s="15">
        <v>0</v>
      </c>
      <c r="U208" s="15">
        <v>39</v>
      </c>
      <c r="V208" s="18"/>
      <c r="W208" s="18"/>
      <c r="X208" s="30"/>
      <c r="Y208" s="30"/>
      <c r="Z208" s="30"/>
      <c r="AA208" s="30"/>
      <c r="AB208" s="34"/>
      <c r="AC208" s="30"/>
      <c r="AD208" s="30"/>
      <c r="AE208" s="30"/>
      <c r="AF208" s="30"/>
      <c r="AG208" s="30"/>
      <c r="AH208" s="30"/>
      <c r="AI208" s="30"/>
      <c r="AJ208" s="30"/>
      <c r="AK208" s="30"/>
      <c r="AL208" s="30"/>
      <c r="AM208" s="30"/>
      <c r="AN208" s="30"/>
      <c r="AO208" s="30"/>
    </row>
    <row r="209" spans="1:41" s="53" customFormat="1" ht="22.5" customHeight="1">
      <c r="A209" s="47"/>
      <c r="B209" s="137"/>
      <c r="C209" s="20" t="s">
        <v>12</v>
      </c>
      <c r="D209" s="24"/>
      <c r="E209" s="48"/>
      <c r="F209" s="24">
        <f>SUM(F205:F208)</f>
        <v>57</v>
      </c>
      <c r="G209" s="24">
        <f>SUM(G205:G208)</f>
        <v>0</v>
      </c>
      <c r="H209" s="24">
        <f>SUM(H205:H208)</f>
        <v>11</v>
      </c>
      <c r="I209" s="40">
        <f>SUM(F209:H209)</f>
        <v>68</v>
      </c>
      <c r="J209" s="24">
        <f aca="true" t="shared" si="60" ref="J209:O209">SUM(J205:J208)</f>
        <v>12</v>
      </c>
      <c r="K209" s="24">
        <f t="shared" si="60"/>
        <v>1</v>
      </c>
      <c r="L209" s="24">
        <f t="shared" si="60"/>
        <v>7</v>
      </c>
      <c r="M209" s="24">
        <f t="shared" si="60"/>
        <v>0</v>
      </c>
      <c r="N209" s="24">
        <f t="shared" si="60"/>
        <v>0</v>
      </c>
      <c r="O209" s="24">
        <f t="shared" si="60"/>
        <v>30</v>
      </c>
      <c r="P209" s="24">
        <f>SUM(J209:O209)</f>
        <v>50</v>
      </c>
      <c r="Q209" s="24">
        <f>SUM(Q205:Q208)</f>
        <v>0</v>
      </c>
      <c r="R209" s="24">
        <f>SUM(R205:R208)</f>
        <v>18</v>
      </c>
      <c r="S209" s="24">
        <f>SUM(S205:S208)</f>
        <v>0</v>
      </c>
      <c r="T209" s="24">
        <f>SUM(T205:T208)</f>
        <v>0</v>
      </c>
      <c r="U209" s="24">
        <f>SUM(U205:U208)</f>
        <v>161</v>
      </c>
      <c r="V209" s="26">
        <f>IF(I209-Q209=0,"",IF(D209="",(P209+S209)/(I209-Q209),IF(AND(D209&lt;&gt;"",(P209+S209)/(I209-Q209)&gt;=50%),(P209+S209)/(I209-Q209),"")))</f>
        <v>0.7352941176470589</v>
      </c>
      <c r="W209" s="26">
        <f>IF(I209=O209,"",IF(V209="",0,(P209+Q209+S209-O209)/(I209-O209)))</f>
        <v>0.5263157894736842</v>
      </c>
      <c r="X209" s="49"/>
      <c r="Y209" s="49"/>
      <c r="Z209" s="49"/>
      <c r="AA209" s="49"/>
      <c r="AB209" s="50"/>
      <c r="AC209" s="49"/>
      <c r="AD209" s="49"/>
      <c r="AE209" s="49"/>
      <c r="AF209" s="49"/>
      <c r="AG209" s="49"/>
      <c r="AH209" s="49"/>
      <c r="AI209" s="49"/>
      <c r="AJ209" s="49"/>
      <c r="AK209" s="49"/>
      <c r="AL209" s="49"/>
      <c r="AM209" s="49"/>
      <c r="AN209" s="49"/>
      <c r="AO209" s="49"/>
    </row>
    <row r="210" spans="1:41" s="39" customFormat="1" ht="24" customHeight="1">
      <c r="A210" s="32"/>
      <c r="B210" s="137" t="s">
        <v>75</v>
      </c>
      <c r="C210" s="14" t="s">
        <v>2</v>
      </c>
      <c r="D210" s="29"/>
      <c r="E210" s="16" t="s">
        <v>27</v>
      </c>
      <c r="F210" s="15"/>
      <c r="G210" s="15"/>
      <c r="H210" s="15"/>
      <c r="I210" s="17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8"/>
      <c r="W210" s="18"/>
      <c r="X210" s="30"/>
      <c r="Y210" s="30"/>
      <c r="Z210" s="30"/>
      <c r="AA210" s="30"/>
      <c r="AB210" s="34"/>
      <c r="AC210" s="30"/>
      <c r="AD210" s="30"/>
      <c r="AE210" s="30"/>
      <c r="AF210" s="30"/>
      <c r="AG210" s="30"/>
      <c r="AH210" s="30"/>
      <c r="AI210" s="30"/>
      <c r="AJ210" s="30"/>
      <c r="AK210" s="30"/>
      <c r="AL210" s="30"/>
      <c r="AM210" s="30"/>
      <c r="AN210" s="30"/>
      <c r="AO210" s="30"/>
    </row>
    <row r="211" spans="1:41" s="39" customFormat="1" ht="21" customHeight="1">
      <c r="A211" s="32">
        <v>12</v>
      </c>
      <c r="B211" s="137"/>
      <c r="C211" s="20" t="str">
        <f>IF(A211="","VARA",VLOOKUP(A211,'[1]varas'!$A$4:$B$67,2))</f>
        <v>12ª VT Recife</v>
      </c>
      <c r="D211" s="15"/>
      <c r="E211" s="16"/>
      <c r="F211" s="15">
        <f>58+29+10</f>
        <v>97</v>
      </c>
      <c r="G211" s="15">
        <v>6</v>
      </c>
      <c r="H211" s="15">
        <v>19</v>
      </c>
      <c r="I211" s="17">
        <f>SUM(F211:H211)</f>
        <v>122</v>
      </c>
      <c r="J211" s="15">
        <v>34</v>
      </c>
      <c r="K211" s="15">
        <v>14</v>
      </c>
      <c r="L211" s="15">
        <v>8</v>
      </c>
      <c r="M211" s="15">
        <v>2</v>
      </c>
      <c r="N211" s="15">
        <v>0</v>
      </c>
      <c r="O211" s="15">
        <v>29</v>
      </c>
      <c r="P211" s="15">
        <f>SUM(J211:O211)</f>
        <v>87</v>
      </c>
      <c r="Q211" s="15">
        <v>18</v>
      </c>
      <c r="R211" s="15">
        <v>17</v>
      </c>
      <c r="S211" s="15">
        <v>0</v>
      </c>
      <c r="T211" s="15">
        <v>0</v>
      </c>
      <c r="U211" s="15">
        <v>173</v>
      </c>
      <c r="V211" s="18"/>
      <c r="W211" s="18"/>
      <c r="X211" s="30"/>
      <c r="Y211" s="30"/>
      <c r="Z211" s="30"/>
      <c r="AA211" s="30"/>
      <c r="AB211" s="34"/>
      <c r="AC211" s="30"/>
      <c r="AD211" s="30"/>
      <c r="AE211" s="30"/>
      <c r="AF211" s="30"/>
      <c r="AG211" s="30"/>
      <c r="AH211" s="30"/>
      <c r="AI211" s="30"/>
      <c r="AJ211" s="30"/>
      <c r="AK211" s="30"/>
      <c r="AL211" s="30"/>
      <c r="AM211" s="30"/>
      <c r="AN211" s="30"/>
      <c r="AO211" s="30"/>
    </row>
    <row r="212" spans="1:41" s="39" customFormat="1" ht="22.5" customHeight="1">
      <c r="A212" s="32"/>
      <c r="B212" s="131"/>
      <c r="C212" s="21" t="s">
        <v>12</v>
      </c>
      <c r="D212" s="33"/>
      <c r="E212" s="23"/>
      <c r="F212" s="24">
        <f>SUM(F210:F211)</f>
        <v>97</v>
      </c>
      <c r="G212" s="24">
        <f>SUM(G210:G211)</f>
        <v>6</v>
      </c>
      <c r="H212" s="24">
        <f>SUM(H210:H211)</f>
        <v>19</v>
      </c>
      <c r="I212" s="40">
        <f>SUM(F212:H212)</f>
        <v>122</v>
      </c>
      <c r="J212" s="24">
        <f aca="true" t="shared" si="61" ref="J212:O212">SUM(J210:J211)</f>
        <v>34</v>
      </c>
      <c r="K212" s="24">
        <f t="shared" si="61"/>
        <v>14</v>
      </c>
      <c r="L212" s="24">
        <f t="shared" si="61"/>
        <v>8</v>
      </c>
      <c r="M212" s="24">
        <f t="shared" si="61"/>
        <v>2</v>
      </c>
      <c r="N212" s="24">
        <f t="shared" si="61"/>
        <v>0</v>
      </c>
      <c r="O212" s="24">
        <f t="shared" si="61"/>
        <v>29</v>
      </c>
      <c r="P212" s="24">
        <f>SUM(J212:O212)</f>
        <v>87</v>
      </c>
      <c r="Q212" s="24">
        <f>SUM(Q210:Q211)</f>
        <v>18</v>
      </c>
      <c r="R212" s="24">
        <f>SUM(R210:R211)</f>
        <v>17</v>
      </c>
      <c r="S212" s="24">
        <f>SUM(S210:S211)</f>
        <v>0</v>
      </c>
      <c r="T212" s="24">
        <f>SUM(T210:T211)</f>
        <v>0</v>
      </c>
      <c r="U212" s="24">
        <f>SUM(U210:U211)</f>
        <v>173</v>
      </c>
      <c r="V212" s="26">
        <f>IF(I212-Q212=0,"",IF(D212="",(P212+S212)/(I212-Q212),IF(AND(D212&lt;&gt;"",(P212+S212)/(I212-Q212)&gt;=50%),(P212+S212)/(I212-Q212),"")))</f>
        <v>0.8365384615384616</v>
      </c>
      <c r="W212" s="26">
        <f>IF(I212=O212,"",IF(V212="",0,(P212+Q212+S212-O212)/(I212-O212)))</f>
        <v>0.8172043010752689</v>
      </c>
      <c r="X212" s="30"/>
      <c r="Y212" s="30"/>
      <c r="Z212" s="30"/>
      <c r="AA212" s="30"/>
      <c r="AB212" s="34"/>
      <c r="AC212" s="30"/>
      <c r="AD212" s="30"/>
      <c r="AE212" s="30"/>
      <c r="AF212" s="30"/>
      <c r="AG212" s="30"/>
      <c r="AH212" s="30"/>
      <c r="AI212" s="30"/>
      <c r="AJ212" s="30"/>
      <c r="AK212" s="30"/>
      <c r="AL212" s="30"/>
      <c r="AM212" s="30"/>
      <c r="AN212" s="30"/>
      <c r="AO212" s="30"/>
    </row>
    <row r="213" spans="1:41" s="39" customFormat="1" ht="27" customHeight="1">
      <c r="A213" s="32"/>
      <c r="B213" s="138" t="s">
        <v>76</v>
      </c>
      <c r="C213" s="105" t="s">
        <v>156</v>
      </c>
      <c r="D213" s="29"/>
      <c r="E213" s="16" t="s">
        <v>27</v>
      </c>
      <c r="F213" s="15"/>
      <c r="G213" s="15"/>
      <c r="H213" s="15"/>
      <c r="I213" s="17"/>
      <c r="J213" s="15"/>
      <c r="K213" s="15"/>
      <c r="L213" s="15"/>
      <c r="M213" s="15"/>
      <c r="N213" s="15"/>
      <c r="O213" s="15"/>
      <c r="P213" s="15"/>
      <c r="Q213" s="15"/>
      <c r="R213" s="15"/>
      <c r="S213" s="15"/>
      <c r="T213" s="15"/>
      <c r="U213" s="15"/>
      <c r="V213" s="18"/>
      <c r="W213" s="18"/>
      <c r="X213" s="30"/>
      <c r="Y213" s="30"/>
      <c r="Z213" s="30"/>
      <c r="AA213" s="30"/>
      <c r="AB213" s="34"/>
      <c r="AC213" s="30"/>
      <c r="AD213" s="30"/>
      <c r="AE213" s="30"/>
      <c r="AF213" s="30"/>
      <c r="AG213" s="30"/>
      <c r="AH213" s="30"/>
      <c r="AI213" s="30"/>
      <c r="AJ213" s="30"/>
      <c r="AK213" s="30"/>
      <c r="AL213" s="30"/>
      <c r="AM213" s="30"/>
      <c r="AN213" s="30"/>
      <c r="AO213" s="30"/>
    </row>
    <row r="214" spans="1:41" s="39" customFormat="1" ht="22.5" customHeight="1">
      <c r="A214" s="32">
        <v>5</v>
      </c>
      <c r="B214" s="139"/>
      <c r="C214" s="106" t="str">
        <f>IF(A214="","VARA",VLOOKUP(A214,'[1]varas'!$A$4:$B$67,2))</f>
        <v>5ª VT Recife</v>
      </c>
      <c r="D214" s="15"/>
      <c r="E214" s="16"/>
      <c r="F214" s="15">
        <v>0</v>
      </c>
      <c r="G214" s="15">
        <v>0</v>
      </c>
      <c r="H214" s="15">
        <v>3</v>
      </c>
      <c r="I214" s="17">
        <f aca="true" t="shared" si="62" ref="I214:I223">SUM(F214:H214)</f>
        <v>3</v>
      </c>
      <c r="J214" s="15">
        <v>2</v>
      </c>
      <c r="K214" s="15">
        <v>0</v>
      </c>
      <c r="L214" s="15">
        <v>0</v>
      </c>
      <c r="M214" s="15">
        <v>0</v>
      </c>
      <c r="N214" s="15">
        <v>0</v>
      </c>
      <c r="O214" s="15">
        <v>0</v>
      </c>
      <c r="P214" s="15">
        <f aca="true" t="shared" si="63" ref="P214:P223">SUM(J214:O214)</f>
        <v>2</v>
      </c>
      <c r="Q214" s="15">
        <v>0</v>
      </c>
      <c r="R214" s="15">
        <v>1</v>
      </c>
      <c r="S214" s="15">
        <v>0</v>
      </c>
      <c r="T214" s="15">
        <v>0</v>
      </c>
      <c r="U214" s="15">
        <v>0</v>
      </c>
      <c r="V214" s="18"/>
      <c r="W214" s="18"/>
      <c r="X214" s="30"/>
      <c r="Y214" s="30"/>
      <c r="Z214" s="30"/>
      <c r="AA214" s="30"/>
      <c r="AB214" s="34"/>
      <c r="AC214" s="30"/>
      <c r="AD214" s="30"/>
      <c r="AE214" s="30"/>
      <c r="AF214" s="30"/>
      <c r="AG214" s="30"/>
      <c r="AH214" s="30"/>
      <c r="AI214" s="30"/>
      <c r="AJ214" s="30"/>
      <c r="AK214" s="30"/>
      <c r="AL214" s="30"/>
      <c r="AM214" s="30"/>
      <c r="AN214" s="30"/>
      <c r="AO214" s="30"/>
    </row>
    <row r="215" spans="1:41" s="39" customFormat="1" ht="22.5" customHeight="1">
      <c r="A215" s="32">
        <v>6</v>
      </c>
      <c r="B215" s="139"/>
      <c r="C215" s="106" t="str">
        <f>IF(A215="","VARA",VLOOKUP(A215,'[1]varas'!$A$4:$B$67,2))</f>
        <v>6ª VT Recife</v>
      </c>
      <c r="D215" s="15"/>
      <c r="E215" s="16"/>
      <c r="F215" s="15">
        <v>0</v>
      </c>
      <c r="G215" s="15">
        <v>0</v>
      </c>
      <c r="H215" s="15">
        <v>4</v>
      </c>
      <c r="I215" s="17">
        <f t="shared" si="62"/>
        <v>4</v>
      </c>
      <c r="J215" s="15">
        <v>2</v>
      </c>
      <c r="K215" s="15">
        <v>0</v>
      </c>
      <c r="L215" s="15">
        <v>0</v>
      </c>
      <c r="M215" s="15">
        <v>0</v>
      </c>
      <c r="N215" s="15">
        <v>0</v>
      </c>
      <c r="O215" s="15">
        <v>0</v>
      </c>
      <c r="P215" s="15">
        <f t="shared" si="63"/>
        <v>2</v>
      </c>
      <c r="Q215" s="15">
        <v>0</v>
      </c>
      <c r="R215" s="15">
        <v>0</v>
      </c>
      <c r="S215" s="15">
        <v>0</v>
      </c>
      <c r="T215" s="15">
        <v>2</v>
      </c>
      <c r="U215" s="15">
        <v>0</v>
      </c>
      <c r="V215" s="18"/>
      <c r="W215" s="18"/>
      <c r="X215" s="30"/>
      <c r="Y215" s="30"/>
      <c r="Z215" s="30"/>
      <c r="AA215" s="30"/>
      <c r="AB215" s="34"/>
      <c r="AC215" s="30"/>
      <c r="AD215" s="30"/>
      <c r="AE215" s="30"/>
      <c r="AF215" s="30"/>
      <c r="AG215" s="30"/>
      <c r="AH215" s="30"/>
      <c r="AI215" s="30"/>
      <c r="AJ215" s="30"/>
      <c r="AK215" s="30"/>
      <c r="AL215" s="30"/>
      <c r="AM215" s="30"/>
      <c r="AN215" s="30"/>
      <c r="AO215" s="30"/>
    </row>
    <row r="216" spans="1:41" s="39" customFormat="1" ht="22.5" customHeight="1">
      <c r="A216" s="32">
        <v>16</v>
      </c>
      <c r="B216" s="139"/>
      <c r="C216" s="106" t="str">
        <f>IF(A216="","VARA",VLOOKUP(A216,'[1]varas'!$A$4:$B$67,2))</f>
        <v>16ª VT Recife</v>
      </c>
      <c r="D216" s="15"/>
      <c r="E216" s="16"/>
      <c r="F216" s="15">
        <v>4</v>
      </c>
      <c r="G216" s="15">
        <v>0</v>
      </c>
      <c r="H216" s="15">
        <v>0</v>
      </c>
      <c r="I216" s="17">
        <f>SUM(F216:H216)</f>
        <v>4</v>
      </c>
      <c r="J216" s="15">
        <v>0</v>
      </c>
      <c r="K216" s="15">
        <v>0</v>
      </c>
      <c r="L216" s="15">
        <v>0</v>
      </c>
      <c r="M216" s="15">
        <v>0</v>
      </c>
      <c r="N216" s="15">
        <v>0</v>
      </c>
      <c r="O216" s="15">
        <v>2</v>
      </c>
      <c r="P216" s="15">
        <f>SUM(J216:O216)</f>
        <v>2</v>
      </c>
      <c r="Q216" s="15">
        <v>2</v>
      </c>
      <c r="R216" s="15">
        <v>0</v>
      </c>
      <c r="S216" s="15">
        <v>0</v>
      </c>
      <c r="T216" s="15">
        <v>0</v>
      </c>
      <c r="U216" s="15">
        <v>8</v>
      </c>
      <c r="V216" s="18"/>
      <c r="W216" s="18"/>
      <c r="X216" s="30"/>
      <c r="Y216" s="30"/>
      <c r="Z216" s="30"/>
      <c r="AA216" s="30"/>
      <c r="AB216" s="34"/>
      <c r="AC216" s="30"/>
      <c r="AD216" s="30"/>
      <c r="AE216" s="30"/>
      <c r="AF216" s="30"/>
      <c r="AG216" s="30"/>
      <c r="AH216" s="30"/>
      <c r="AI216" s="30"/>
      <c r="AJ216" s="30"/>
      <c r="AK216" s="30"/>
      <c r="AL216" s="30"/>
      <c r="AM216" s="30"/>
      <c r="AN216" s="30"/>
      <c r="AO216" s="30"/>
    </row>
    <row r="217" spans="1:41" s="39" customFormat="1" ht="21" customHeight="1">
      <c r="A217" s="32">
        <v>27</v>
      </c>
      <c r="B217" s="139"/>
      <c r="C217" s="106" t="str">
        <f>IF(A217="","VARA",VLOOKUP(A217,'[1]varas'!$A$4:$B$67,2))</f>
        <v>2ª VT Cabo</v>
      </c>
      <c r="D217" s="15"/>
      <c r="E217" s="16"/>
      <c r="F217" s="15">
        <v>0</v>
      </c>
      <c r="G217" s="15">
        <v>0</v>
      </c>
      <c r="H217" s="15">
        <v>15</v>
      </c>
      <c r="I217" s="17">
        <f t="shared" si="62"/>
        <v>15</v>
      </c>
      <c r="J217" s="15">
        <v>0</v>
      </c>
      <c r="K217" s="15">
        <v>0</v>
      </c>
      <c r="L217" s="15">
        <v>0</v>
      </c>
      <c r="M217" s="15">
        <v>0</v>
      </c>
      <c r="N217" s="15">
        <v>0</v>
      </c>
      <c r="O217" s="15">
        <v>0</v>
      </c>
      <c r="P217" s="15">
        <f t="shared" si="63"/>
        <v>0</v>
      </c>
      <c r="Q217" s="15">
        <v>0</v>
      </c>
      <c r="R217" s="15">
        <v>15</v>
      </c>
      <c r="S217" s="15">
        <v>0</v>
      </c>
      <c r="T217" s="15">
        <v>0</v>
      </c>
      <c r="U217" s="15">
        <v>0</v>
      </c>
      <c r="V217" s="18"/>
      <c r="W217" s="18"/>
      <c r="X217" s="30"/>
      <c r="Y217" s="30"/>
      <c r="Z217" s="30"/>
      <c r="AA217" s="30"/>
      <c r="AB217" s="34"/>
      <c r="AC217" s="30"/>
      <c r="AD217" s="30"/>
      <c r="AE217" s="30"/>
      <c r="AF217" s="30"/>
      <c r="AG217" s="30"/>
      <c r="AH217" s="30"/>
      <c r="AI217" s="30"/>
      <c r="AJ217" s="30"/>
      <c r="AK217" s="30"/>
      <c r="AL217" s="30"/>
      <c r="AM217" s="30"/>
      <c r="AN217" s="30"/>
      <c r="AO217" s="30"/>
    </row>
    <row r="218" spans="1:41" s="39" customFormat="1" ht="21" customHeight="1">
      <c r="A218" s="32">
        <v>47</v>
      </c>
      <c r="B218" s="139"/>
      <c r="C218" s="106" t="str">
        <f>IF(A218="","VARA",VLOOKUP(A218,'[1]varas'!$A$4:$B$67,2))</f>
        <v>VT Carpina</v>
      </c>
      <c r="D218" s="15"/>
      <c r="E218" s="16"/>
      <c r="F218" s="15">
        <v>0</v>
      </c>
      <c r="G218" s="15">
        <v>2</v>
      </c>
      <c r="H218" s="15">
        <v>0</v>
      </c>
      <c r="I218" s="17">
        <f>SUM(F218:H218)</f>
        <v>2</v>
      </c>
      <c r="J218" s="15">
        <v>0</v>
      </c>
      <c r="K218" s="15">
        <v>0</v>
      </c>
      <c r="L218" s="15">
        <v>0</v>
      </c>
      <c r="M218" s="15">
        <v>0</v>
      </c>
      <c r="N218" s="15">
        <v>0</v>
      </c>
      <c r="O218" s="15">
        <v>0</v>
      </c>
      <c r="P218" s="15">
        <f>SUM(J218:O218)</f>
        <v>0</v>
      </c>
      <c r="Q218" s="15">
        <v>0</v>
      </c>
      <c r="R218" s="15">
        <v>2</v>
      </c>
      <c r="S218" s="15">
        <v>0</v>
      </c>
      <c r="T218" s="15">
        <v>0</v>
      </c>
      <c r="U218" s="15">
        <v>0</v>
      </c>
      <c r="V218" s="18"/>
      <c r="W218" s="18"/>
      <c r="X218" s="30"/>
      <c r="Y218" s="30"/>
      <c r="Z218" s="30"/>
      <c r="AA218" s="30"/>
      <c r="AB218" s="34"/>
      <c r="AC218" s="30"/>
      <c r="AD218" s="30"/>
      <c r="AE218" s="30"/>
      <c r="AF218" s="30"/>
      <c r="AG218" s="30"/>
      <c r="AH218" s="30"/>
      <c r="AI218" s="30"/>
      <c r="AJ218" s="30"/>
      <c r="AK218" s="30"/>
      <c r="AL218" s="30"/>
      <c r="AM218" s="30"/>
      <c r="AN218" s="30"/>
      <c r="AO218" s="30"/>
    </row>
    <row r="219" spans="1:41" s="39" customFormat="1" ht="21" customHeight="1">
      <c r="A219" s="32">
        <v>48</v>
      </c>
      <c r="B219" s="139"/>
      <c r="C219" s="106" t="str">
        <f>IF(A219="","VARA",VLOOKUP(A219,'[1]varas'!$A$4:$B$67,2))</f>
        <v>VT Catende</v>
      </c>
      <c r="D219" s="15"/>
      <c r="E219" s="16"/>
      <c r="F219" s="15">
        <v>0</v>
      </c>
      <c r="G219" s="15">
        <v>17</v>
      </c>
      <c r="H219" s="15">
        <v>0</v>
      </c>
      <c r="I219" s="17">
        <f>SUM(F219:H219)</f>
        <v>17</v>
      </c>
      <c r="J219" s="15">
        <v>0</v>
      </c>
      <c r="K219" s="15">
        <v>0</v>
      </c>
      <c r="L219" s="15">
        <v>0</v>
      </c>
      <c r="M219" s="15">
        <v>0</v>
      </c>
      <c r="N219" s="15">
        <v>0</v>
      </c>
      <c r="O219" s="15">
        <v>0</v>
      </c>
      <c r="P219" s="15">
        <f>SUM(J219:O219)</f>
        <v>0</v>
      </c>
      <c r="Q219" s="15">
        <v>0</v>
      </c>
      <c r="R219" s="15">
        <v>17</v>
      </c>
      <c r="S219" s="15">
        <v>0</v>
      </c>
      <c r="T219" s="15">
        <v>0</v>
      </c>
      <c r="U219" s="15">
        <v>0</v>
      </c>
      <c r="V219" s="18"/>
      <c r="W219" s="18"/>
      <c r="X219" s="30"/>
      <c r="Y219" s="30"/>
      <c r="Z219" s="30"/>
      <c r="AA219" s="30"/>
      <c r="AB219" s="34"/>
      <c r="AC219" s="30"/>
      <c r="AD219" s="30"/>
      <c r="AE219" s="30"/>
      <c r="AF219" s="30"/>
      <c r="AG219" s="30"/>
      <c r="AH219" s="30"/>
      <c r="AI219" s="30"/>
      <c r="AJ219" s="30"/>
      <c r="AK219" s="30"/>
      <c r="AL219" s="30"/>
      <c r="AM219" s="30"/>
      <c r="AN219" s="30"/>
      <c r="AO219" s="30"/>
    </row>
    <row r="220" spans="1:41" s="39" customFormat="1" ht="21" customHeight="1">
      <c r="A220" s="32">
        <v>60</v>
      </c>
      <c r="B220" s="139"/>
      <c r="C220" s="106" t="str">
        <f>IF(A220="","VARA",VLOOKUP(A220,'[1]varas'!$A$4:$B$67,2))</f>
        <v>VT Timbaúba</v>
      </c>
      <c r="D220" s="15"/>
      <c r="E220" s="16"/>
      <c r="F220" s="15">
        <v>0</v>
      </c>
      <c r="G220" s="15">
        <v>0</v>
      </c>
      <c r="H220" s="15">
        <v>6</v>
      </c>
      <c r="I220" s="17">
        <f t="shared" si="62"/>
        <v>6</v>
      </c>
      <c r="J220" s="15">
        <v>6</v>
      </c>
      <c r="K220" s="15">
        <v>0</v>
      </c>
      <c r="L220" s="15">
        <v>0</v>
      </c>
      <c r="M220" s="15">
        <v>0</v>
      </c>
      <c r="N220" s="15">
        <v>0</v>
      </c>
      <c r="O220" s="15">
        <v>0</v>
      </c>
      <c r="P220" s="15">
        <f t="shared" si="63"/>
        <v>6</v>
      </c>
      <c r="Q220" s="15">
        <v>0</v>
      </c>
      <c r="R220" s="15">
        <v>0</v>
      </c>
      <c r="S220" s="15">
        <v>0</v>
      </c>
      <c r="T220" s="15">
        <v>0</v>
      </c>
      <c r="U220" s="15">
        <v>0</v>
      </c>
      <c r="V220" s="18"/>
      <c r="W220" s="18"/>
      <c r="X220" s="30"/>
      <c r="Y220" s="30"/>
      <c r="Z220" s="30"/>
      <c r="AA220" s="30"/>
      <c r="AB220" s="34"/>
      <c r="AC220" s="30"/>
      <c r="AD220" s="30"/>
      <c r="AE220" s="30"/>
      <c r="AF220" s="30"/>
      <c r="AG220" s="30"/>
      <c r="AH220" s="30"/>
      <c r="AI220" s="30"/>
      <c r="AJ220" s="30"/>
      <c r="AK220" s="30"/>
      <c r="AL220" s="30"/>
      <c r="AM220" s="30"/>
      <c r="AN220" s="30"/>
      <c r="AO220" s="30"/>
    </row>
    <row r="221" spans="1:41" s="39" customFormat="1" ht="21" customHeight="1">
      <c r="A221" s="32">
        <v>57</v>
      </c>
      <c r="B221" s="139"/>
      <c r="C221" s="106" t="str">
        <f>IF(A221="","VARA",VLOOKUP(A221,'[1]varas'!$A$4:$B$67,2))</f>
        <v>VT S. Lourenço </v>
      </c>
      <c r="D221" s="15"/>
      <c r="E221" s="16"/>
      <c r="F221" s="15">
        <v>0</v>
      </c>
      <c r="G221" s="15">
        <v>0</v>
      </c>
      <c r="H221" s="15">
        <v>1</v>
      </c>
      <c r="I221" s="17">
        <f t="shared" si="62"/>
        <v>1</v>
      </c>
      <c r="J221" s="15">
        <v>0</v>
      </c>
      <c r="K221" s="15">
        <v>0</v>
      </c>
      <c r="L221" s="15">
        <v>0</v>
      </c>
      <c r="M221" s="15">
        <v>0</v>
      </c>
      <c r="N221" s="15">
        <v>0</v>
      </c>
      <c r="O221" s="15">
        <v>0</v>
      </c>
      <c r="P221" s="15">
        <f t="shared" si="63"/>
        <v>0</v>
      </c>
      <c r="Q221" s="15">
        <v>0</v>
      </c>
      <c r="R221" s="15">
        <v>1</v>
      </c>
      <c r="S221" s="15">
        <v>0</v>
      </c>
      <c r="T221" s="15">
        <v>0</v>
      </c>
      <c r="U221" s="15">
        <v>0</v>
      </c>
      <c r="V221" s="18"/>
      <c r="W221" s="18"/>
      <c r="X221" s="30"/>
      <c r="Y221" s="30"/>
      <c r="Z221" s="30"/>
      <c r="AA221" s="30"/>
      <c r="AB221" s="34"/>
      <c r="AC221" s="30"/>
      <c r="AD221" s="30"/>
      <c r="AE221" s="30"/>
      <c r="AF221" s="30"/>
      <c r="AG221" s="30"/>
      <c r="AH221" s="30"/>
      <c r="AI221" s="30"/>
      <c r="AJ221" s="30"/>
      <c r="AK221" s="30"/>
      <c r="AL221" s="30"/>
      <c r="AM221" s="30"/>
      <c r="AN221" s="30"/>
      <c r="AO221" s="30"/>
    </row>
    <row r="222" spans="1:41" s="39" customFormat="1" ht="21" customHeight="1">
      <c r="A222" s="32">
        <v>51</v>
      </c>
      <c r="B222" s="139"/>
      <c r="C222" s="106" t="str">
        <f>IF(A222="","VARA",VLOOKUP(A222,'[1]varas'!$A$4:$B$67,2))</f>
        <v>VT Goiana</v>
      </c>
      <c r="D222" s="15"/>
      <c r="E222" s="16"/>
      <c r="F222" s="15">
        <f>40+96+0</f>
        <v>136</v>
      </c>
      <c r="G222" s="15">
        <v>10</v>
      </c>
      <c r="H222" s="15">
        <v>12</v>
      </c>
      <c r="I222" s="17">
        <f t="shared" si="62"/>
        <v>158</v>
      </c>
      <c r="J222" s="15">
        <v>21</v>
      </c>
      <c r="K222" s="15">
        <v>17</v>
      </c>
      <c r="L222" s="15">
        <v>0</v>
      </c>
      <c r="M222" s="15">
        <v>0</v>
      </c>
      <c r="N222" s="15">
        <v>0</v>
      </c>
      <c r="O222" s="15">
        <v>96</v>
      </c>
      <c r="P222" s="15">
        <f t="shared" si="63"/>
        <v>134</v>
      </c>
      <c r="Q222" s="15">
        <v>9</v>
      </c>
      <c r="R222" s="15">
        <v>13</v>
      </c>
      <c r="S222" s="15">
        <v>1</v>
      </c>
      <c r="T222" s="15">
        <v>1</v>
      </c>
      <c r="U222" s="15">
        <v>163</v>
      </c>
      <c r="V222" s="18"/>
      <c r="W222" s="18"/>
      <c r="X222" s="30"/>
      <c r="Y222" s="30"/>
      <c r="Z222" s="30"/>
      <c r="AA222" s="30"/>
      <c r="AB222" s="34"/>
      <c r="AC222" s="30"/>
      <c r="AD222" s="30"/>
      <c r="AE222" s="30"/>
      <c r="AF222" s="30"/>
      <c r="AG222" s="30"/>
      <c r="AH222" s="30"/>
      <c r="AI222" s="30"/>
      <c r="AJ222" s="30"/>
      <c r="AK222" s="30"/>
      <c r="AL222" s="30"/>
      <c r="AM222" s="30"/>
      <c r="AN222" s="30"/>
      <c r="AO222" s="30"/>
    </row>
    <row r="223" spans="1:41" s="53" customFormat="1" ht="21.75" customHeight="1">
      <c r="A223" s="47"/>
      <c r="B223" s="134"/>
      <c r="C223" s="106" t="s">
        <v>12</v>
      </c>
      <c r="D223" s="24"/>
      <c r="E223" s="48"/>
      <c r="F223" s="24">
        <f>SUM(F213:F222)</f>
        <v>140</v>
      </c>
      <c r="G223" s="24">
        <f>SUM(G213:G222)</f>
        <v>29</v>
      </c>
      <c r="H223" s="24">
        <f>SUM(H213:H222)</f>
        <v>41</v>
      </c>
      <c r="I223" s="40">
        <f t="shared" si="62"/>
        <v>210</v>
      </c>
      <c r="J223" s="24">
        <f aca="true" t="shared" si="64" ref="J223:O223">SUM(J213:J222)</f>
        <v>31</v>
      </c>
      <c r="K223" s="24">
        <f t="shared" si="64"/>
        <v>17</v>
      </c>
      <c r="L223" s="24">
        <f t="shared" si="64"/>
        <v>0</v>
      </c>
      <c r="M223" s="24">
        <f t="shared" si="64"/>
        <v>0</v>
      </c>
      <c r="N223" s="24">
        <f t="shared" si="64"/>
        <v>0</v>
      </c>
      <c r="O223" s="24">
        <f t="shared" si="64"/>
        <v>98</v>
      </c>
      <c r="P223" s="24">
        <f t="shared" si="63"/>
        <v>146</v>
      </c>
      <c r="Q223" s="24">
        <f>SUM(Q213:Q222)</f>
        <v>11</v>
      </c>
      <c r="R223" s="24">
        <f>SUM(R213:R222)</f>
        <v>49</v>
      </c>
      <c r="S223" s="24">
        <f>SUM(S213:S222)</f>
        <v>1</v>
      </c>
      <c r="T223" s="24">
        <f>SUM(T213:T222)</f>
        <v>3</v>
      </c>
      <c r="U223" s="24">
        <f>SUM(U213:U222)</f>
        <v>171</v>
      </c>
      <c r="V223" s="26">
        <f>IF(I223-Q223=0,"",IF(D223="",(P223+S223)/(I223-Q223),IF(AND(D223&lt;&gt;"",(P223+S223)/(I223-Q223)&gt;=50%),(P223+S223)/(I223-Q223),"")))</f>
        <v>0.7386934673366834</v>
      </c>
      <c r="W223" s="26">
        <f>IF(I223=O223,"",IF(V223="",0,(P223+Q223+S223-O223)/(I223-O223)))</f>
        <v>0.5357142857142857</v>
      </c>
      <c r="X223" s="49"/>
      <c r="Y223" s="49"/>
      <c r="Z223" s="49"/>
      <c r="AA223" s="49"/>
      <c r="AB223" s="50"/>
      <c r="AC223" s="49"/>
      <c r="AD223" s="49"/>
      <c r="AE223" s="49"/>
      <c r="AF223" s="49"/>
      <c r="AG223" s="49"/>
      <c r="AH223" s="49"/>
      <c r="AI223" s="49"/>
      <c r="AJ223" s="49"/>
      <c r="AK223" s="49"/>
      <c r="AL223" s="49"/>
      <c r="AM223" s="49"/>
      <c r="AN223" s="49"/>
      <c r="AO223" s="49"/>
    </row>
    <row r="224" spans="1:41" s="39" customFormat="1" ht="26.25" customHeight="1">
      <c r="A224" s="32"/>
      <c r="B224" s="138" t="s">
        <v>77</v>
      </c>
      <c r="C224" s="105" t="s">
        <v>2</v>
      </c>
      <c r="D224" s="29" t="s">
        <v>219</v>
      </c>
      <c r="E224" s="16" t="s">
        <v>220</v>
      </c>
      <c r="F224" s="15"/>
      <c r="G224" s="15"/>
      <c r="H224" s="15"/>
      <c r="I224" s="17"/>
      <c r="J224" s="15"/>
      <c r="K224" s="15"/>
      <c r="L224" s="15"/>
      <c r="M224" s="15"/>
      <c r="N224" s="15"/>
      <c r="O224" s="15"/>
      <c r="P224" s="15"/>
      <c r="Q224" s="15"/>
      <c r="R224" s="15"/>
      <c r="S224" s="15"/>
      <c r="T224" s="15"/>
      <c r="U224" s="15"/>
      <c r="V224" s="18"/>
      <c r="W224" s="18"/>
      <c r="X224" s="30"/>
      <c r="Y224" s="30"/>
      <c r="Z224" s="30"/>
      <c r="AA224" s="30"/>
      <c r="AB224" s="34"/>
      <c r="AC224" s="30"/>
      <c r="AD224" s="30"/>
      <c r="AE224" s="30"/>
      <c r="AF224" s="30"/>
      <c r="AG224" s="30"/>
      <c r="AH224" s="30"/>
      <c r="AI224" s="30"/>
      <c r="AJ224" s="30"/>
      <c r="AK224" s="30"/>
      <c r="AL224" s="30"/>
      <c r="AM224" s="30"/>
      <c r="AN224" s="30"/>
      <c r="AO224" s="30"/>
    </row>
    <row r="225" spans="1:41" s="39" customFormat="1" ht="21.75" customHeight="1">
      <c r="A225" s="32">
        <v>66</v>
      </c>
      <c r="B225" s="139"/>
      <c r="C225" s="106" t="s">
        <v>161</v>
      </c>
      <c r="D225" s="15"/>
      <c r="E225" s="16"/>
      <c r="F225" s="15">
        <v>1</v>
      </c>
      <c r="G225" s="15">
        <v>0</v>
      </c>
      <c r="H225" s="15">
        <v>0</v>
      </c>
      <c r="I225" s="17">
        <f>SUM(F225:H225)</f>
        <v>1</v>
      </c>
      <c r="J225" s="15">
        <v>1</v>
      </c>
      <c r="K225" s="15">
        <v>0</v>
      </c>
      <c r="L225" s="15">
        <v>0</v>
      </c>
      <c r="M225" s="15">
        <v>0</v>
      </c>
      <c r="N225" s="15">
        <v>0</v>
      </c>
      <c r="O225" s="15">
        <v>0</v>
      </c>
      <c r="P225" s="15">
        <f>SUM(J225:O225)</f>
        <v>1</v>
      </c>
      <c r="Q225" s="15">
        <v>0</v>
      </c>
      <c r="R225" s="15">
        <v>0</v>
      </c>
      <c r="S225" s="15">
        <v>0</v>
      </c>
      <c r="T225" s="15">
        <v>0</v>
      </c>
      <c r="U225" s="15">
        <v>0</v>
      </c>
      <c r="V225" s="18"/>
      <c r="W225" s="18"/>
      <c r="X225" s="30"/>
      <c r="Y225" s="30"/>
      <c r="Z225" s="30"/>
      <c r="AA225" s="30"/>
      <c r="AB225" s="34"/>
      <c r="AC225" s="30"/>
      <c r="AD225" s="30"/>
      <c r="AE225" s="30"/>
      <c r="AF225" s="30"/>
      <c r="AG225" s="30"/>
      <c r="AH225" s="30"/>
      <c r="AI225" s="30"/>
      <c r="AJ225" s="30"/>
      <c r="AK225" s="30"/>
      <c r="AL225" s="30"/>
      <c r="AM225" s="30"/>
      <c r="AN225" s="30"/>
      <c r="AO225" s="30"/>
    </row>
    <row r="226" spans="1:41" s="53" customFormat="1" ht="18" customHeight="1">
      <c r="A226" s="47"/>
      <c r="B226" s="134"/>
      <c r="C226" s="107" t="s">
        <v>12</v>
      </c>
      <c r="D226" s="51"/>
      <c r="E226" s="52"/>
      <c r="F226" s="24">
        <f>SUM(F224:F225)</f>
        <v>1</v>
      </c>
      <c r="G226" s="24">
        <f>SUM(G224:G225)</f>
        <v>0</v>
      </c>
      <c r="H226" s="24">
        <f>SUM(H224:H225)</f>
        <v>0</v>
      </c>
      <c r="I226" s="25">
        <f>SUM(F226:H226)</f>
        <v>1</v>
      </c>
      <c r="J226" s="24">
        <f aca="true" t="shared" si="65" ref="J226:O226">SUM(J224:J225)</f>
        <v>1</v>
      </c>
      <c r="K226" s="24">
        <f t="shared" si="65"/>
        <v>0</v>
      </c>
      <c r="L226" s="24">
        <f t="shared" si="65"/>
        <v>0</v>
      </c>
      <c r="M226" s="24">
        <f t="shared" si="65"/>
        <v>0</v>
      </c>
      <c r="N226" s="24">
        <f t="shared" si="65"/>
        <v>0</v>
      </c>
      <c r="O226" s="24">
        <f t="shared" si="65"/>
        <v>0</v>
      </c>
      <c r="P226" s="24">
        <f>SUM(J226:O226)</f>
        <v>1</v>
      </c>
      <c r="Q226" s="24">
        <f>SUM(Q224:Q225)</f>
        <v>0</v>
      </c>
      <c r="R226" s="24">
        <f>SUM(R224:R225)</f>
        <v>0</v>
      </c>
      <c r="S226" s="24">
        <f>SUM(S224:S225)</f>
        <v>0</v>
      </c>
      <c r="T226" s="24">
        <f>SUM(T224:T225)</f>
        <v>0</v>
      </c>
      <c r="U226" s="24">
        <f>SUM(U224:U225)</f>
        <v>0</v>
      </c>
      <c r="V226" s="26">
        <f>IF(I226-Q226=0,"",IF(D226="",(P226+S226)/(I226-Q226),IF(AND(D226&lt;&gt;"",(P226+S226)/(I226-Q226)&gt;=50%),(P226+S226)/(I226-Q226),"")))</f>
        <v>1</v>
      </c>
      <c r="W226" s="26">
        <f>IF(I226=O226,"",IF(V226="",0,(P226+Q226+S226-O226)/(I226-O226)))</f>
        <v>1</v>
      </c>
      <c r="X226" s="49"/>
      <c r="Y226" s="49"/>
      <c r="Z226" s="49"/>
      <c r="AA226" s="49"/>
      <c r="AB226" s="50"/>
      <c r="AC226" s="49"/>
      <c r="AD226" s="49"/>
      <c r="AE226" s="49"/>
      <c r="AF226" s="49"/>
      <c r="AG226" s="49"/>
      <c r="AH226" s="49"/>
      <c r="AI226" s="49"/>
      <c r="AJ226" s="49"/>
      <c r="AK226" s="49"/>
      <c r="AL226" s="49"/>
      <c r="AM226" s="49"/>
      <c r="AN226" s="49"/>
      <c r="AO226" s="49"/>
    </row>
    <row r="227" spans="1:41" s="39" customFormat="1" ht="24" customHeight="1">
      <c r="A227" s="32"/>
      <c r="B227" s="138" t="s">
        <v>78</v>
      </c>
      <c r="C227" s="105" t="s">
        <v>2</v>
      </c>
      <c r="D227" s="29" t="s">
        <v>30</v>
      </c>
      <c r="E227" s="16" t="s">
        <v>207</v>
      </c>
      <c r="F227" s="15"/>
      <c r="G227" s="15"/>
      <c r="H227" s="15"/>
      <c r="I227" s="17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  <c r="U227" s="15"/>
      <c r="V227" s="18"/>
      <c r="W227" s="18"/>
      <c r="X227" s="30"/>
      <c r="Y227" s="30"/>
      <c r="Z227" s="30"/>
      <c r="AA227" s="30"/>
      <c r="AB227" s="34"/>
      <c r="AC227" s="30"/>
      <c r="AD227" s="30"/>
      <c r="AE227" s="30"/>
      <c r="AF227" s="30"/>
      <c r="AG227" s="30"/>
      <c r="AH227" s="30"/>
      <c r="AI227" s="30"/>
      <c r="AJ227" s="30"/>
      <c r="AK227" s="30"/>
      <c r="AL227" s="30"/>
      <c r="AM227" s="30"/>
      <c r="AN227" s="30"/>
      <c r="AO227" s="30"/>
    </row>
    <row r="228" spans="1:41" s="39" customFormat="1" ht="20.25" customHeight="1">
      <c r="A228" s="32">
        <v>29</v>
      </c>
      <c r="B228" s="139"/>
      <c r="C228" s="106" t="str">
        <f>IF(A228="","VARA",VLOOKUP(A228,'[1]varas'!$A$4:$B$67,2))</f>
        <v>2ª VT Caruaru</v>
      </c>
      <c r="D228" s="15"/>
      <c r="E228" s="16"/>
      <c r="F228" s="15">
        <v>5</v>
      </c>
      <c r="G228" s="15">
        <v>3</v>
      </c>
      <c r="H228" s="15">
        <v>0</v>
      </c>
      <c r="I228" s="17">
        <f>SUM(F228:H228)</f>
        <v>8</v>
      </c>
      <c r="J228" s="15">
        <v>8</v>
      </c>
      <c r="K228" s="15">
        <v>0</v>
      </c>
      <c r="L228" s="15">
        <v>0</v>
      </c>
      <c r="M228" s="15">
        <v>0</v>
      </c>
      <c r="N228" s="15">
        <v>0</v>
      </c>
      <c r="O228" s="15">
        <v>0</v>
      </c>
      <c r="P228" s="15">
        <f>SUM(J228:O228)</f>
        <v>8</v>
      </c>
      <c r="Q228" s="15">
        <v>0</v>
      </c>
      <c r="R228" s="15">
        <v>0</v>
      </c>
      <c r="S228" s="15">
        <v>0</v>
      </c>
      <c r="T228" s="15">
        <v>0</v>
      </c>
      <c r="U228" s="15">
        <v>8</v>
      </c>
      <c r="V228" s="18"/>
      <c r="W228" s="18"/>
      <c r="X228" s="30"/>
      <c r="Y228" s="30"/>
      <c r="Z228" s="30"/>
      <c r="AA228" s="30"/>
      <c r="AB228" s="34"/>
      <c r="AC228" s="30"/>
      <c r="AD228" s="30"/>
      <c r="AE228" s="30"/>
      <c r="AF228" s="30"/>
      <c r="AG228" s="30"/>
      <c r="AH228" s="30"/>
      <c r="AI228" s="30"/>
      <c r="AJ228" s="30"/>
      <c r="AK228" s="30"/>
      <c r="AL228" s="30"/>
      <c r="AM228" s="30"/>
      <c r="AN228" s="30"/>
      <c r="AO228" s="30"/>
    </row>
    <row r="229" spans="1:41" s="53" customFormat="1" ht="20.25" customHeight="1">
      <c r="A229" s="47"/>
      <c r="B229" s="134"/>
      <c r="C229" s="107" t="s">
        <v>12</v>
      </c>
      <c r="D229" s="51"/>
      <c r="E229" s="52"/>
      <c r="F229" s="24">
        <f>SUM(F227:F228)</f>
        <v>5</v>
      </c>
      <c r="G229" s="24">
        <f>SUM(G227:G228)</f>
        <v>3</v>
      </c>
      <c r="H229" s="24">
        <f>SUM(H227:H228)</f>
        <v>0</v>
      </c>
      <c r="I229" s="25">
        <f>SUM(F229:H229)</f>
        <v>8</v>
      </c>
      <c r="J229" s="24">
        <f aca="true" t="shared" si="66" ref="J229:O229">SUM(J227:J228)</f>
        <v>8</v>
      </c>
      <c r="K229" s="24">
        <f t="shared" si="66"/>
        <v>0</v>
      </c>
      <c r="L229" s="24">
        <f t="shared" si="66"/>
        <v>0</v>
      </c>
      <c r="M229" s="24">
        <f t="shared" si="66"/>
        <v>0</v>
      </c>
      <c r="N229" s="24">
        <f t="shared" si="66"/>
        <v>0</v>
      </c>
      <c r="O229" s="24">
        <f t="shared" si="66"/>
        <v>0</v>
      </c>
      <c r="P229" s="24">
        <f>SUM(J229:O229)</f>
        <v>8</v>
      </c>
      <c r="Q229" s="24">
        <f>SUM(Q227:Q228)</f>
        <v>0</v>
      </c>
      <c r="R229" s="24">
        <f>SUM(R227:R228)</f>
        <v>0</v>
      </c>
      <c r="S229" s="24">
        <f>SUM(S227:S228)</f>
        <v>0</v>
      </c>
      <c r="T229" s="24">
        <f>SUM(T227:T228)</f>
        <v>0</v>
      </c>
      <c r="U229" s="24">
        <f>SUM(U227:U228)</f>
        <v>8</v>
      </c>
      <c r="V229" s="26">
        <f>IF(I229-Q229=0,"",IF(D229="",(P229+S229)/(I229-Q229),IF(AND(D229&lt;&gt;"",(P229+S229)/(I229-Q229)&gt;=50%),(P229+S229)/(I229-Q229),"")))</f>
        <v>1</v>
      </c>
      <c r="W229" s="26">
        <f>IF(I229=O229,"",IF(V229="",0,(P229+Q229+S229-O229)/(I229-O229)))</f>
        <v>1</v>
      </c>
      <c r="X229" s="49"/>
      <c r="Y229" s="49"/>
      <c r="Z229" s="49"/>
      <c r="AA229" s="49"/>
      <c r="AB229" s="50"/>
      <c r="AC229" s="49"/>
      <c r="AD229" s="49"/>
      <c r="AE229" s="49"/>
      <c r="AF229" s="49"/>
      <c r="AG229" s="49"/>
      <c r="AH229" s="49"/>
      <c r="AI229" s="49"/>
      <c r="AJ229" s="49"/>
      <c r="AK229" s="49"/>
      <c r="AL229" s="49"/>
      <c r="AM229" s="49"/>
      <c r="AN229" s="49"/>
      <c r="AO229" s="49"/>
    </row>
    <row r="230" spans="1:41" s="39" customFormat="1" ht="21" customHeight="1">
      <c r="A230" s="32"/>
      <c r="B230" s="130" t="s">
        <v>79</v>
      </c>
      <c r="C230" s="14" t="s">
        <v>2</v>
      </c>
      <c r="D230" s="29"/>
      <c r="E230" s="16" t="s">
        <v>27</v>
      </c>
      <c r="F230" s="15"/>
      <c r="G230" s="15"/>
      <c r="H230" s="15"/>
      <c r="I230" s="17"/>
      <c r="J230" s="15"/>
      <c r="K230" s="15"/>
      <c r="L230" s="15"/>
      <c r="M230" s="15"/>
      <c r="N230" s="15"/>
      <c r="O230" s="15"/>
      <c r="P230" s="15"/>
      <c r="Q230" s="15"/>
      <c r="R230" s="15"/>
      <c r="S230" s="15"/>
      <c r="T230" s="15"/>
      <c r="U230" s="15"/>
      <c r="V230" s="18"/>
      <c r="W230" s="18"/>
      <c r="X230" s="30"/>
      <c r="Y230" s="30"/>
      <c r="Z230" s="30"/>
      <c r="AA230" s="30"/>
      <c r="AB230" s="34"/>
      <c r="AC230" s="30"/>
      <c r="AD230" s="30"/>
      <c r="AE230" s="30"/>
      <c r="AF230" s="30"/>
      <c r="AG230" s="30"/>
      <c r="AH230" s="30"/>
      <c r="AI230" s="30"/>
      <c r="AJ230" s="30"/>
      <c r="AK230" s="30"/>
      <c r="AL230" s="30"/>
      <c r="AM230" s="30"/>
      <c r="AN230" s="30"/>
      <c r="AO230" s="30"/>
    </row>
    <row r="231" spans="1:41" s="39" customFormat="1" ht="18.75" customHeight="1">
      <c r="A231" s="32">
        <v>32</v>
      </c>
      <c r="B231" s="137"/>
      <c r="C231" s="20" t="str">
        <f>IF(A231="","VARA",VLOOKUP(A231,'[1]varas'!$A$4:$B$67,2))</f>
        <v>1ª VT Ipojuca</v>
      </c>
      <c r="D231" s="15"/>
      <c r="E231" s="16"/>
      <c r="F231" s="15">
        <f>15+28+6+7</f>
        <v>56</v>
      </c>
      <c r="G231" s="15">
        <v>24</v>
      </c>
      <c r="H231" s="15">
        <v>30</v>
      </c>
      <c r="I231" s="17">
        <f>SUM(F231:H231)</f>
        <v>110</v>
      </c>
      <c r="J231" s="15">
        <v>20</v>
      </c>
      <c r="K231" s="15">
        <v>0</v>
      </c>
      <c r="L231" s="15">
        <v>6</v>
      </c>
      <c r="M231" s="15">
        <v>7</v>
      </c>
      <c r="N231" s="15">
        <v>0</v>
      </c>
      <c r="O231" s="15">
        <v>28</v>
      </c>
      <c r="P231" s="15">
        <f>SUM(J231:O231)</f>
        <v>61</v>
      </c>
      <c r="Q231" s="15">
        <v>15</v>
      </c>
      <c r="R231" s="15">
        <v>34</v>
      </c>
      <c r="S231" s="15">
        <v>0</v>
      </c>
      <c r="T231" s="15">
        <v>0</v>
      </c>
      <c r="U231" s="15">
        <v>128</v>
      </c>
      <c r="V231" s="18"/>
      <c r="W231" s="18"/>
      <c r="X231" s="30"/>
      <c r="Y231" s="30"/>
      <c r="Z231" s="30"/>
      <c r="AA231" s="30"/>
      <c r="AB231" s="34"/>
      <c r="AC231" s="30"/>
      <c r="AD231" s="30"/>
      <c r="AE231" s="30"/>
      <c r="AF231" s="30"/>
      <c r="AG231" s="30"/>
      <c r="AH231" s="30"/>
      <c r="AI231" s="30"/>
      <c r="AJ231" s="30"/>
      <c r="AK231" s="30"/>
      <c r="AL231" s="30"/>
      <c r="AM231" s="30"/>
      <c r="AN231" s="30"/>
      <c r="AO231" s="30"/>
    </row>
    <row r="232" spans="1:41" s="39" customFormat="1" ht="22.5" customHeight="1">
      <c r="A232" s="32"/>
      <c r="B232" s="137"/>
      <c r="C232" s="21" t="s">
        <v>12</v>
      </c>
      <c r="D232" s="33"/>
      <c r="E232" s="23"/>
      <c r="F232" s="24">
        <f>SUM(F230:F231)</f>
        <v>56</v>
      </c>
      <c r="G232" s="24">
        <f>SUM(G230:G231)</f>
        <v>24</v>
      </c>
      <c r="H232" s="24">
        <f>SUM(H230:H231)</f>
        <v>30</v>
      </c>
      <c r="I232" s="40">
        <f>SUM(F232:H232)</f>
        <v>110</v>
      </c>
      <c r="J232" s="24">
        <f aca="true" t="shared" si="67" ref="J232:O232">SUM(J230:J231)</f>
        <v>20</v>
      </c>
      <c r="K232" s="24">
        <f t="shared" si="67"/>
        <v>0</v>
      </c>
      <c r="L232" s="24">
        <f t="shared" si="67"/>
        <v>6</v>
      </c>
      <c r="M232" s="24">
        <f t="shared" si="67"/>
        <v>7</v>
      </c>
      <c r="N232" s="24">
        <f t="shared" si="67"/>
        <v>0</v>
      </c>
      <c r="O232" s="24">
        <f t="shared" si="67"/>
        <v>28</v>
      </c>
      <c r="P232" s="24">
        <f>SUM(J232:O232)</f>
        <v>61</v>
      </c>
      <c r="Q232" s="24">
        <f>SUM(Q230:Q231)</f>
        <v>15</v>
      </c>
      <c r="R232" s="24">
        <f>SUM(R230:R231)</f>
        <v>34</v>
      </c>
      <c r="S232" s="24">
        <f>SUM(S230:S231)</f>
        <v>0</v>
      </c>
      <c r="T232" s="24">
        <f>SUM(T230:T231)</f>
        <v>0</v>
      </c>
      <c r="U232" s="24">
        <f>SUM(U230:U231)</f>
        <v>128</v>
      </c>
      <c r="V232" s="26">
        <f>IF(I232-Q232=0,"",IF(D232="",(P232+S232)/(I232-Q232),IF(AND(D232&lt;&gt;"",(P232+S232)/(I232-Q232)&gt;=50%),(P232+S232)/(I232-Q232),"")))</f>
        <v>0.6421052631578947</v>
      </c>
      <c r="W232" s="26">
        <f>IF(I232=O232,"",IF(V232="",0,(P232+Q232+S232-O232)/(I232-O232)))</f>
        <v>0.5853658536585366</v>
      </c>
      <c r="X232" s="30"/>
      <c r="Y232" s="30"/>
      <c r="Z232" s="30"/>
      <c r="AA232" s="30"/>
      <c r="AB232" s="34"/>
      <c r="AC232" s="30"/>
      <c r="AD232" s="30"/>
      <c r="AE232" s="30"/>
      <c r="AF232" s="30"/>
      <c r="AG232" s="30"/>
      <c r="AH232" s="30"/>
      <c r="AI232" s="30"/>
      <c r="AJ232" s="30"/>
      <c r="AK232" s="30"/>
      <c r="AL232" s="30"/>
      <c r="AM232" s="30"/>
      <c r="AN232" s="30"/>
      <c r="AO232" s="30"/>
    </row>
    <row r="233" spans="1:41" s="39" customFormat="1" ht="23.25" customHeight="1">
      <c r="A233" s="32"/>
      <c r="B233" s="137" t="s">
        <v>80</v>
      </c>
      <c r="C233" s="14" t="s">
        <v>2</v>
      </c>
      <c r="D233" s="29" t="s">
        <v>200</v>
      </c>
      <c r="E233" s="16" t="s">
        <v>221</v>
      </c>
      <c r="F233" s="15"/>
      <c r="G233" s="15"/>
      <c r="H233" s="15"/>
      <c r="I233" s="17"/>
      <c r="J233" s="15"/>
      <c r="K233" s="15"/>
      <c r="L233" s="15"/>
      <c r="M233" s="15"/>
      <c r="N233" s="15"/>
      <c r="O233" s="15"/>
      <c r="P233" s="15"/>
      <c r="Q233" s="15"/>
      <c r="R233" s="15"/>
      <c r="S233" s="15"/>
      <c r="T233" s="15"/>
      <c r="U233" s="15"/>
      <c r="V233" s="18"/>
      <c r="W233" s="18"/>
      <c r="X233" s="30"/>
      <c r="Y233" s="30"/>
      <c r="Z233" s="30"/>
      <c r="AA233" s="30"/>
      <c r="AB233" s="34"/>
      <c r="AC233" s="30"/>
      <c r="AD233" s="30"/>
      <c r="AE233" s="30"/>
      <c r="AF233" s="30"/>
      <c r="AG233" s="30"/>
      <c r="AH233" s="30"/>
      <c r="AI233" s="30"/>
      <c r="AJ233" s="30"/>
      <c r="AK233" s="30"/>
      <c r="AL233" s="30"/>
      <c r="AM233" s="30"/>
      <c r="AN233" s="30"/>
      <c r="AO233" s="30"/>
    </row>
    <row r="234" spans="1:41" s="39" customFormat="1" ht="18.75" customHeight="1">
      <c r="A234" s="32">
        <v>69</v>
      </c>
      <c r="B234" s="137"/>
      <c r="C234" s="20" t="s">
        <v>175</v>
      </c>
      <c r="D234" s="15"/>
      <c r="E234" s="16"/>
      <c r="F234" s="15">
        <v>0</v>
      </c>
      <c r="G234" s="15">
        <v>0</v>
      </c>
      <c r="H234" s="15">
        <v>0</v>
      </c>
      <c r="I234" s="17">
        <f>SUM(F234:H234)</f>
        <v>0</v>
      </c>
      <c r="J234" s="15">
        <v>0</v>
      </c>
      <c r="K234" s="15">
        <v>0</v>
      </c>
      <c r="L234" s="15">
        <v>0</v>
      </c>
      <c r="M234" s="15">
        <v>0</v>
      </c>
      <c r="N234" s="15">
        <v>0</v>
      </c>
      <c r="O234" s="15">
        <v>0</v>
      </c>
      <c r="P234" s="15">
        <f>SUM(J234:O234)</f>
        <v>0</v>
      </c>
      <c r="Q234" s="15">
        <v>0</v>
      </c>
      <c r="R234" s="15">
        <v>0</v>
      </c>
      <c r="S234" s="15">
        <v>0</v>
      </c>
      <c r="T234" s="15">
        <v>0</v>
      </c>
      <c r="U234" s="15">
        <v>0</v>
      </c>
      <c r="V234" s="18"/>
      <c r="W234" s="18"/>
      <c r="X234" s="30"/>
      <c r="Y234" s="30"/>
      <c r="Z234" s="30"/>
      <c r="AA234" s="30"/>
      <c r="AB234" s="34"/>
      <c r="AC234" s="30"/>
      <c r="AD234" s="30"/>
      <c r="AE234" s="30"/>
      <c r="AF234" s="30"/>
      <c r="AG234" s="30"/>
      <c r="AH234" s="30"/>
      <c r="AI234" s="30"/>
      <c r="AJ234" s="30"/>
      <c r="AK234" s="30"/>
      <c r="AL234" s="30"/>
      <c r="AM234" s="30"/>
      <c r="AN234" s="30"/>
      <c r="AO234" s="30"/>
    </row>
    <row r="235" spans="1:41" s="39" customFormat="1" ht="21" customHeight="1">
      <c r="A235" s="32"/>
      <c r="B235" s="131"/>
      <c r="C235" s="21" t="s">
        <v>12</v>
      </c>
      <c r="D235" s="33"/>
      <c r="E235" s="23"/>
      <c r="F235" s="24">
        <f>SUM(F233:F234)</f>
        <v>0</v>
      </c>
      <c r="G235" s="24">
        <f>SUM(G233:G234)</f>
        <v>0</v>
      </c>
      <c r="H235" s="24">
        <f>SUM(H233:H234)</f>
        <v>0</v>
      </c>
      <c r="I235" s="40">
        <f>SUM(F235:H235)</f>
        <v>0</v>
      </c>
      <c r="J235" s="24">
        <f aca="true" t="shared" si="68" ref="J235:O235">SUM(J233:J234)</f>
        <v>0</v>
      </c>
      <c r="K235" s="24">
        <f t="shared" si="68"/>
        <v>0</v>
      </c>
      <c r="L235" s="24">
        <f t="shared" si="68"/>
        <v>0</v>
      </c>
      <c r="M235" s="24">
        <f t="shared" si="68"/>
        <v>0</v>
      </c>
      <c r="N235" s="24">
        <f t="shared" si="68"/>
        <v>0</v>
      </c>
      <c r="O235" s="24">
        <f t="shared" si="68"/>
        <v>0</v>
      </c>
      <c r="P235" s="24">
        <f>SUM(J235:O235)</f>
        <v>0</v>
      </c>
      <c r="Q235" s="24">
        <f>SUM(Q233:Q234)</f>
        <v>0</v>
      </c>
      <c r="R235" s="24">
        <f>SUM(R233:R234)</f>
        <v>0</v>
      </c>
      <c r="S235" s="24">
        <f>SUM(S233:S234)</f>
        <v>0</v>
      </c>
      <c r="T235" s="24">
        <f>SUM(T233:T234)</f>
        <v>0</v>
      </c>
      <c r="U235" s="24">
        <f>SUM(U233:U234)</f>
        <v>0</v>
      </c>
      <c r="V235" s="26">
        <f>IF(I235-Q235=0,"",IF(D235="",(P235+S235)/(I235-Q235),IF(AND(D235&lt;&gt;"",(P235+S235)/(I235-Q235)&gt;=50%),(P235+S235)/(I235-Q235),"")))</f>
      </c>
      <c r="W235" s="26">
        <f>IF(I235=O235,"",IF(V235="",0,(P235+Q235+S235-O235)/(I235-O235)))</f>
      </c>
      <c r="X235" s="30"/>
      <c r="Y235" s="30"/>
      <c r="Z235" s="30"/>
      <c r="AA235" s="30"/>
      <c r="AB235" s="34"/>
      <c r="AC235" s="30"/>
      <c r="AD235" s="30"/>
      <c r="AE235" s="30"/>
      <c r="AF235" s="30"/>
      <c r="AG235" s="30"/>
      <c r="AH235" s="30"/>
      <c r="AI235" s="30"/>
      <c r="AJ235" s="30"/>
      <c r="AK235" s="30"/>
      <c r="AL235" s="30"/>
      <c r="AM235" s="30"/>
      <c r="AN235" s="30"/>
      <c r="AO235" s="30"/>
    </row>
    <row r="236" spans="1:41" s="39" customFormat="1" ht="22.5" customHeight="1">
      <c r="A236" s="32"/>
      <c r="B236" s="138" t="s">
        <v>81</v>
      </c>
      <c r="C236" s="105" t="s">
        <v>156</v>
      </c>
      <c r="D236" s="29"/>
      <c r="E236" s="16" t="s">
        <v>27</v>
      </c>
      <c r="F236" s="15"/>
      <c r="G236" s="15"/>
      <c r="H236" s="15"/>
      <c r="I236" s="17"/>
      <c r="J236" s="15"/>
      <c r="K236" s="15"/>
      <c r="L236" s="15"/>
      <c r="M236" s="15"/>
      <c r="N236" s="15"/>
      <c r="O236" s="15"/>
      <c r="P236" s="15"/>
      <c r="Q236" s="15"/>
      <c r="R236" s="15"/>
      <c r="S236" s="15"/>
      <c r="T236" s="15"/>
      <c r="U236" s="15"/>
      <c r="V236" s="18"/>
      <c r="W236" s="18"/>
      <c r="X236" s="30"/>
      <c r="Y236" s="30"/>
      <c r="Z236" s="30"/>
      <c r="AA236" s="30"/>
      <c r="AB236" s="34"/>
      <c r="AC236" s="30"/>
      <c r="AD236" s="30"/>
      <c r="AE236" s="30"/>
      <c r="AF236" s="30"/>
      <c r="AG236" s="30"/>
      <c r="AH236" s="30"/>
      <c r="AI236" s="30"/>
      <c r="AJ236" s="30"/>
      <c r="AK236" s="30"/>
      <c r="AL236" s="30"/>
      <c r="AM236" s="30"/>
      <c r="AN236" s="30"/>
      <c r="AO236" s="30"/>
    </row>
    <row r="237" spans="1:41" s="39" customFormat="1" ht="18" customHeight="1">
      <c r="A237" s="32">
        <v>60</v>
      </c>
      <c r="B237" s="139"/>
      <c r="C237" s="106" t="str">
        <f>IF(A237="","VARA",VLOOKUP(A237,'[1]varas'!$A$4:$B$67,2))</f>
        <v>VT Timbaúba</v>
      </c>
      <c r="D237" s="15"/>
      <c r="E237" s="16"/>
      <c r="F237" s="15">
        <f>164+31+18+6</f>
        <v>219</v>
      </c>
      <c r="G237" s="15">
        <v>32</v>
      </c>
      <c r="H237" s="15">
        <v>10</v>
      </c>
      <c r="I237" s="17">
        <f>SUM(F237:H237)</f>
        <v>261</v>
      </c>
      <c r="J237" s="15">
        <v>175</v>
      </c>
      <c r="K237" s="15">
        <v>25</v>
      </c>
      <c r="L237" s="15">
        <v>18</v>
      </c>
      <c r="M237" s="15">
        <v>6</v>
      </c>
      <c r="N237" s="15">
        <v>0</v>
      </c>
      <c r="O237" s="15">
        <v>31</v>
      </c>
      <c r="P237" s="15">
        <f>SUM(J237:O237)</f>
        <v>255</v>
      </c>
      <c r="Q237" s="15">
        <v>6</v>
      </c>
      <c r="R237" s="15">
        <v>0</v>
      </c>
      <c r="S237" s="15">
        <v>0</v>
      </c>
      <c r="T237" s="15">
        <v>0</v>
      </c>
      <c r="U237" s="15">
        <v>297</v>
      </c>
      <c r="V237" s="18"/>
      <c r="W237" s="18"/>
      <c r="X237" s="30"/>
      <c r="Y237" s="30"/>
      <c r="Z237" s="30"/>
      <c r="AA237" s="30"/>
      <c r="AB237" s="34"/>
      <c r="AC237" s="30"/>
      <c r="AD237" s="30"/>
      <c r="AE237" s="30"/>
      <c r="AF237" s="30"/>
      <c r="AG237" s="30"/>
      <c r="AH237" s="30"/>
      <c r="AI237" s="30"/>
      <c r="AJ237" s="30"/>
      <c r="AK237" s="30"/>
      <c r="AL237" s="30"/>
      <c r="AM237" s="30"/>
      <c r="AN237" s="30"/>
      <c r="AO237" s="30"/>
    </row>
    <row r="238" spans="1:41" s="39" customFormat="1" ht="17.25" customHeight="1">
      <c r="A238" s="32"/>
      <c r="B238" s="134"/>
      <c r="C238" s="107" t="s">
        <v>12</v>
      </c>
      <c r="D238" s="33"/>
      <c r="E238" s="23"/>
      <c r="F238" s="24">
        <f>SUM(F236:F237)</f>
        <v>219</v>
      </c>
      <c r="G238" s="24">
        <f>SUM(G236:G237)</f>
        <v>32</v>
      </c>
      <c r="H238" s="24">
        <f>SUM(H236:H237)</f>
        <v>10</v>
      </c>
      <c r="I238" s="40">
        <f>SUM(F238:H238)</f>
        <v>261</v>
      </c>
      <c r="J238" s="24">
        <f aca="true" t="shared" si="69" ref="J238:O238">SUM(J236:J237)</f>
        <v>175</v>
      </c>
      <c r="K238" s="24">
        <f t="shared" si="69"/>
        <v>25</v>
      </c>
      <c r="L238" s="24">
        <f t="shared" si="69"/>
        <v>18</v>
      </c>
      <c r="M238" s="24">
        <f t="shared" si="69"/>
        <v>6</v>
      </c>
      <c r="N238" s="24">
        <f t="shared" si="69"/>
        <v>0</v>
      </c>
      <c r="O238" s="24">
        <f t="shared" si="69"/>
        <v>31</v>
      </c>
      <c r="P238" s="24">
        <f>SUM(J238:O238)</f>
        <v>255</v>
      </c>
      <c r="Q238" s="24">
        <f>SUM(Q236:Q237)</f>
        <v>6</v>
      </c>
      <c r="R238" s="24">
        <f>SUM(R236:R237)</f>
        <v>0</v>
      </c>
      <c r="S238" s="24">
        <f>SUM(S236:S237)</f>
        <v>0</v>
      </c>
      <c r="T238" s="24">
        <f>SUM(T236:T237)</f>
        <v>0</v>
      </c>
      <c r="U238" s="24">
        <f>SUM(U236:U237)</f>
        <v>297</v>
      </c>
      <c r="V238" s="26">
        <f>IF(I238-Q238=0,"",IF(D238="",(P238+S238)/(I238-Q238),IF(AND(D238&lt;&gt;"",(P238+S238)/(I238-Q238)&gt;=50%),(P238+S238)/(I238-Q238),"")))</f>
        <v>1</v>
      </c>
      <c r="W238" s="26">
        <f>IF(I238=O238,"",IF(V238="",0,(P238+Q238+S238-O238)/(I238-O238)))</f>
        <v>1</v>
      </c>
      <c r="X238" s="30"/>
      <c r="Y238" s="30"/>
      <c r="Z238" s="30"/>
      <c r="AA238" s="30"/>
      <c r="AB238" s="34"/>
      <c r="AC238" s="30"/>
      <c r="AD238" s="30"/>
      <c r="AE238" s="30"/>
      <c r="AF238" s="30"/>
      <c r="AG238" s="30"/>
      <c r="AH238" s="30"/>
      <c r="AI238" s="30"/>
      <c r="AJ238" s="30"/>
      <c r="AK238" s="30"/>
      <c r="AL238" s="30"/>
      <c r="AM238" s="30"/>
      <c r="AN238" s="30"/>
      <c r="AO238" s="30"/>
    </row>
    <row r="239" spans="1:41" s="39" customFormat="1" ht="22.5" customHeight="1">
      <c r="A239" s="32"/>
      <c r="B239" s="138" t="s">
        <v>160</v>
      </c>
      <c r="C239" s="105" t="s">
        <v>154</v>
      </c>
      <c r="D239" s="15"/>
      <c r="E239" s="16" t="s">
        <v>27</v>
      </c>
      <c r="F239" s="15"/>
      <c r="G239" s="15"/>
      <c r="H239" s="15"/>
      <c r="I239" s="17"/>
      <c r="J239" s="15"/>
      <c r="K239" s="15"/>
      <c r="L239" s="15"/>
      <c r="M239" s="15"/>
      <c r="N239" s="15"/>
      <c r="O239" s="15"/>
      <c r="P239" s="15"/>
      <c r="Q239" s="15"/>
      <c r="R239" s="15"/>
      <c r="S239" s="15"/>
      <c r="T239" s="15"/>
      <c r="U239" s="15"/>
      <c r="V239" s="18"/>
      <c r="W239" s="18"/>
      <c r="X239" s="30"/>
      <c r="Y239" s="30"/>
      <c r="Z239" s="30"/>
      <c r="AA239" s="30"/>
      <c r="AB239" s="34"/>
      <c r="AC239" s="30"/>
      <c r="AD239" s="30"/>
      <c r="AE239" s="30"/>
      <c r="AF239" s="30"/>
      <c r="AG239" s="30"/>
      <c r="AH239" s="30"/>
      <c r="AI239" s="30"/>
      <c r="AJ239" s="30"/>
      <c r="AK239" s="30"/>
      <c r="AL239" s="30"/>
      <c r="AM239" s="30"/>
      <c r="AN239" s="30"/>
      <c r="AO239" s="30"/>
    </row>
    <row r="240" spans="1:41" s="39" customFormat="1" ht="22.5" customHeight="1">
      <c r="A240" s="32">
        <v>1</v>
      </c>
      <c r="B240" s="139"/>
      <c r="C240" s="106" t="str">
        <f>IF(A240="","VARA",VLOOKUP(A240,'[1]varas'!$A$4:$B$67,2))</f>
        <v>1ª VT Recife</v>
      </c>
      <c r="D240" s="15"/>
      <c r="E240" s="16"/>
      <c r="F240" s="15">
        <f>49+20+9+5</f>
        <v>83</v>
      </c>
      <c r="G240" s="15">
        <v>19</v>
      </c>
      <c r="H240" s="15">
        <v>0</v>
      </c>
      <c r="I240" s="17">
        <f>SUM(F240:H240)</f>
        <v>102</v>
      </c>
      <c r="J240" s="15">
        <v>38</v>
      </c>
      <c r="K240" s="15">
        <v>16</v>
      </c>
      <c r="L240" s="15">
        <v>9</v>
      </c>
      <c r="M240" s="15">
        <v>4</v>
      </c>
      <c r="N240" s="15">
        <v>1</v>
      </c>
      <c r="O240" s="15">
        <v>20</v>
      </c>
      <c r="P240" s="15">
        <f>SUM(J240:O240)</f>
        <v>88</v>
      </c>
      <c r="Q240" s="15">
        <v>14</v>
      </c>
      <c r="R240" s="15">
        <v>0</v>
      </c>
      <c r="S240" s="15">
        <v>0</v>
      </c>
      <c r="T240" s="15">
        <v>0</v>
      </c>
      <c r="U240" s="15">
        <v>146</v>
      </c>
      <c r="V240" s="18"/>
      <c r="W240" s="18"/>
      <c r="X240" s="30"/>
      <c r="Y240" s="30"/>
      <c r="Z240" s="30"/>
      <c r="AA240" s="30"/>
      <c r="AB240" s="34"/>
      <c r="AC240" s="30"/>
      <c r="AD240" s="30"/>
      <c r="AE240" s="30"/>
      <c r="AF240" s="30"/>
      <c r="AG240" s="30"/>
      <c r="AH240" s="30"/>
      <c r="AI240" s="30"/>
      <c r="AJ240" s="30"/>
      <c r="AK240" s="30"/>
      <c r="AL240" s="30"/>
      <c r="AM240" s="30"/>
      <c r="AN240" s="30"/>
      <c r="AO240" s="30"/>
    </row>
    <row r="241" spans="1:41" s="39" customFormat="1" ht="18.75" customHeight="1">
      <c r="A241" s="32">
        <v>17</v>
      </c>
      <c r="B241" s="139"/>
      <c r="C241" s="106" t="str">
        <f>IF(A241="","VARA",VLOOKUP(A241,'[1]varas'!$A$4:$B$67,2))</f>
        <v>17ª VT Recife</v>
      </c>
      <c r="D241" s="15"/>
      <c r="E241" s="16"/>
      <c r="F241" s="15">
        <v>1</v>
      </c>
      <c r="G241" s="15">
        <v>0</v>
      </c>
      <c r="H241" s="15">
        <v>0</v>
      </c>
      <c r="I241" s="17">
        <f>SUM(F241:H241)</f>
        <v>1</v>
      </c>
      <c r="J241" s="15">
        <v>1</v>
      </c>
      <c r="K241" s="15">
        <v>0</v>
      </c>
      <c r="L241" s="15">
        <v>0</v>
      </c>
      <c r="M241" s="15">
        <v>0</v>
      </c>
      <c r="N241" s="15">
        <v>0</v>
      </c>
      <c r="O241" s="15">
        <v>0</v>
      </c>
      <c r="P241" s="15">
        <f>SUM(J241:O241)</f>
        <v>1</v>
      </c>
      <c r="Q241" s="15">
        <v>0</v>
      </c>
      <c r="R241" s="15">
        <v>0</v>
      </c>
      <c r="S241" s="15">
        <v>0</v>
      </c>
      <c r="T241" s="15">
        <v>0</v>
      </c>
      <c r="U241" s="15">
        <v>1</v>
      </c>
      <c r="V241" s="18"/>
      <c r="W241" s="18"/>
      <c r="X241" s="30"/>
      <c r="Y241" s="30"/>
      <c r="Z241" s="30"/>
      <c r="AA241" s="30"/>
      <c r="AB241" s="34"/>
      <c r="AC241" s="30"/>
      <c r="AD241" s="30"/>
      <c r="AE241" s="30"/>
      <c r="AF241" s="30"/>
      <c r="AG241" s="30"/>
      <c r="AH241" s="30"/>
      <c r="AI241" s="30"/>
      <c r="AJ241" s="30"/>
      <c r="AK241" s="30"/>
      <c r="AL241" s="30"/>
      <c r="AM241" s="30"/>
      <c r="AN241" s="30"/>
      <c r="AO241" s="30"/>
    </row>
    <row r="242" spans="1:41" s="53" customFormat="1" ht="16.5" customHeight="1">
      <c r="A242" s="47"/>
      <c r="B242" s="134"/>
      <c r="C242" s="106" t="s">
        <v>12</v>
      </c>
      <c r="D242" s="24"/>
      <c r="E242" s="48"/>
      <c r="F242" s="24">
        <f>SUM(F239:F241)</f>
        <v>84</v>
      </c>
      <c r="G242" s="24">
        <f>SUM(G239:G241)</f>
        <v>19</v>
      </c>
      <c r="H242" s="24">
        <f>SUM(H239:H241)</f>
        <v>0</v>
      </c>
      <c r="I242" s="40">
        <f>SUM(F242:H242)</f>
        <v>103</v>
      </c>
      <c r="J242" s="24">
        <f aca="true" t="shared" si="70" ref="J242:O242">SUM(J239:J241)</f>
        <v>39</v>
      </c>
      <c r="K242" s="24">
        <f t="shared" si="70"/>
        <v>16</v>
      </c>
      <c r="L242" s="24">
        <f t="shared" si="70"/>
        <v>9</v>
      </c>
      <c r="M242" s="24">
        <f t="shared" si="70"/>
        <v>4</v>
      </c>
      <c r="N242" s="24">
        <f t="shared" si="70"/>
        <v>1</v>
      </c>
      <c r="O242" s="24">
        <f t="shared" si="70"/>
        <v>20</v>
      </c>
      <c r="P242" s="24">
        <f>SUM(J242:O242)</f>
        <v>89</v>
      </c>
      <c r="Q242" s="24">
        <f>SUM(Q239:Q241)</f>
        <v>14</v>
      </c>
      <c r="R242" s="24">
        <f>SUM(R239:R241)</f>
        <v>0</v>
      </c>
      <c r="S242" s="24">
        <f>SUM(S239:S241)</f>
        <v>0</v>
      </c>
      <c r="T242" s="24">
        <f>SUM(T239:T241)</f>
        <v>0</v>
      </c>
      <c r="U242" s="24">
        <f>SUM(U239:U241)</f>
        <v>147</v>
      </c>
      <c r="V242" s="26">
        <f>IF(I242-Q242=0,"",IF(D242="",(P242+S242)/(I242-Q242),IF(AND(D242&lt;&gt;"",(P242+S242)/(I242-Q242)&gt;=50%),(P242+S242)/(I242-Q242),"")))</f>
        <v>1</v>
      </c>
      <c r="W242" s="26">
        <f>IF(I242=O242,"",IF(V242="",0,(P242+Q242+S242-O242)/(I242-O242)))</f>
        <v>1</v>
      </c>
      <c r="X242" s="49"/>
      <c r="Y242" s="49"/>
      <c r="Z242" s="49"/>
      <c r="AA242" s="49"/>
      <c r="AB242" s="50"/>
      <c r="AC242" s="49"/>
      <c r="AD242" s="49"/>
      <c r="AE242" s="49"/>
      <c r="AF242" s="49"/>
      <c r="AG242" s="49"/>
      <c r="AH242" s="49"/>
      <c r="AI242" s="49"/>
      <c r="AJ242" s="49"/>
      <c r="AK242" s="49"/>
      <c r="AL242" s="49"/>
      <c r="AM242" s="49"/>
      <c r="AN242" s="49"/>
      <c r="AO242" s="49"/>
    </row>
    <row r="243" spans="1:41" s="39" customFormat="1" ht="20.25" customHeight="1">
      <c r="A243" s="32"/>
      <c r="B243" s="138" t="s">
        <v>82</v>
      </c>
      <c r="C243" s="105" t="s">
        <v>156</v>
      </c>
      <c r="D243" s="29"/>
      <c r="E243" s="16" t="s">
        <v>27</v>
      </c>
      <c r="F243" s="15"/>
      <c r="G243" s="15"/>
      <c r="H243" s="15"/>
      <c r="I243" s="17"/>
      <c r="J243" s="15"/>
      <c r="K243" s="15"/>
      <c r="L243" s="15"/>
      <c r="M243" s="15"/>
      <c r="N243" s="15"/>
      <c r="O243" s="15"/>
      <c r="P243" s="15"/>
      <c r="Q243" s="15"/>
      <c r="R243" s="15"/>
      <c r="S243" s="15"/>
      <c r="T243" s="15"/>
      <c r="U243" s="15"/>
      <c r="V243" s="18"/>
      <c r="W243" s="18"/>
      <c r="X243" s="30"/>
      <c r="Y243" s="30"/>
      <c r="Z243" s="30"/>
      <c r="AA243" s="30"/>
      <c r="AB243" s="34"/>
      <c r="AC243" s="30"/>
      <c r="AD243" s="30"/>
      <c r="AE243" s="30"/>
      <c r="AF243" s="30"/>
      <c r="AG243" s="30"/>
      <c r="AH243" s="30"/>
      <c r="AI243" s="30"/>
      <c r="AJ243" s="30"/>
      <c r="AK243" s="30"/>
      <c r="AL243" s="30"/>
      <c r="AM243" s="30"/>
      <c r="AN243" s="30"/>
      <c r="AO243" s="30"/>
    </row>
    <row r="244" spans="1:41" s="39" customFormat="1" ht="23.25" customHeight="1">
      <c r="A244" s="32">
        <v>31</v>
      </c>
      <c r="B244" s="142"/>
      <c r="C244" s="106" t="str">
        <f>IF(A244="","VARA",VLOOKUP(A244,'[1]varas'!$A$4:$B$67,2))</f>
        <v>1ª VT Igarassu</v>
      </c>
      <c r="D244" s="15"/>
      <c r="E244" s="16"/>
      <c r="F244" s="15">
        <v>47</v>
      </c>
      <c r="G244" s="15">
        <v>0</v>
      </c>
      <c r="H244" s="15">
        <v>0</v>
      </c>
      <c r="I244" s="17">
        <f>SUM(F244:H244)</f>
        <v>47</v>
      </c>
      <c r="J244" s="15">
        <v>12</v>
      </c>
      <c r="K244" s="15">
        <v>7</v>
      </c>
      <c r="L244" s="15">
        <v>1</v>
      </c>
      <c r="M244" s="15">
        <v>0</v>
      </c>
      <c r="N244" s="15">
        <v>0</v>
      </c>
      <c r="O244" s="15">
        <v>22</v>
      </c>
      <c r="P244" s="15">
        <f>SUM(J244:O244)</f>
        <v>42</v>
      </c>
      <c r="Q244" s="15">
        <v>5</v>
      </c>
      <c r="R244" s="15">
        <v>0</v>
      </c>
      <c r="S244" s="15">
        <v>0</v>
      </c>
      <c r="T244" s="15">
        <v>0</v>
      </c>
      <c r="U244" s="15">
        <v>89</v>
      </c>
      <c r="V244" s="18"/>
      <c r="W244" s="18"/>
      <c r="X244" s="30"/>
      <c r="Y244" s="30"/>
      <c r="Z244" s="30"/>
      <c r="AA244" s="30"/>
      <c r="AB244" s="34"/>
      <c r="AC244" s="30"/>
      <c r="AD244" s="30"/>
      <c r="AE244" s="30"/>
      <c r="AF244" s="30"/>
      <c r="AG244" s="30"/>
      <c r="AH244" s="30"/>
      <c r="AI244" s="30"/>
      <c r="AJ244" s="30"/>
      <c r="AK244" s="30"/>
      <c r="AL244" s="30"/>
      <c r="AM244" s="30"/>
      <c r="AN244" s="30"/>
      <c r="AO244" s="30"/>
    </row>
    <row r="245" spans="1:41" s="39" customFormat="1" ht="20.25" customHeight="1">
      <c r="A245" s="32">
        <v>67</v>
      </c>
      <c r="B245" s="139"/>
      <c r="C245" s="106" t="s">
        <v>168</v>
      </c>
      <c r="D245" s="15"/>
      <c r="E245" s="16"/>
      <c r="F245" s="15">
        <v>10</v>
      </c>
      <c r="G245" s="15">
        <v>6</v>
      </c>
      <c r="H245" s="15">
        <v>6</v>
      </c>
      <c r="I245" s="17">
        <f>SUM(F245:H245)</f>
        <v>22</v>
      </c>
      <c r="J245" s="15">
        <v>15</v>
      </c>
      <c r="K245" s="15">
        <v>2</v>
      </c>
      <c r="L245" s="15">
        <v>0</v>
      </c>
      <c r="M245" s="15">
        <v>0</v>
      </c>
      <c r="N245" s="15">
        <v>0</v>
      </c>
      <c r="O245" s="15">
        <v>5</v>
      </c>
      <c r="P245" s="15">
        <f>SUM(J245:O245)</f>
        <v>22</v>
      </c>
      <c r="Q245" s="15">
        <v>0</v>
      </c>
      <c r="R245" s="15">
        <v>0</v>
      </c>
      <c r="S245" s="15">
        <v>0</v>
      </c>
      <c r="T245" s="15">
        <v>0</v>
      </c>
      <c r="U245" s="15">
        <v>24</v>
      </c>
      <c r="V245" s="18"/>
      <c r="W245" s="18"/>
      <c r="X245" s="30"/>
      <c r="Y245" s="30"/>
      <c r="Z245" s="30"/>
      <c r="AA245" s="30"/>
      <c r="AB245" s="34"/>
      <c r="AC245" s="30"/>
      <c r="AD245" s="30"/>
      <c r="AE245" s="30"/>
      <c r="AF245" s="30"/>
      <c r="AG245" s="30"/>
      <c r="AH245" s="30"/>
      <c r="AI245" s="30"/>
      <c r="AJ245" s="30"/>
      <c r="AK245" s="30"/>
      <c r="AL245" s="30"/>
      <c r="AM245" s="30"/>
      <c r="AN245" s="30"/>
      <c r="AO245" s="30"/>
    </row>
    <row r="246" spans="1:41" s="39" customFormat="1" ht="20.25" customHeight="1">
      <c r="A246" s="32"/>
      <c r="B246" s="134"/>
      <c r="C246" s="107" t="s">
        <v>12</v>
      </c>
      <c r="D246" s="33"/>
      <c r="E246" s="23"/>
      <c r="F246" s="24">
        <f>SUM(F243:F245)</f>
        <v>57</v>
      </c>
      <c r="G246" s="24">
        <f>SUM(G243:G245)</f>
        <v>6</v>
      </c>
      <c r="H246" s="24">
        <f>SUM(H243:H245)</f>
        <v>6</v>
      </c>
      <c r="I246" s="40">
        <f>SUM(F246:H246)</f>
        <v>69</v>
      </c>
      <c r="J246" s="24">
        <f aca="true" t="shared" si="71" ref="J246:O246">SUM(J243:J245)</f>
        <v>27</v>
      </c>
      <c r="K246" s="24">
        <f t="shared" si="71"/>
        <v>9</v>
      </c>
      <c r="L246" s="24">
        <f t="shared" si="71"/>
        <v>1</v>
      </c>
      <c r="M246" s="24">
        <f t="shared" si="71"/>
        <v>0</v>
      </c>
      <c r="N246" s="24">
        <f t="shared" si="71"/>
        <v>0</v>
      </c>
      <c r="O246" s="24">
        <f t="shared" si="71"/>
        <v>27</v>
      </c>
      <c r="P246" s="24">
        <f>SUM(J246:O246)</f>
        <v>64</v>
      </c>
      <c r="Q246" s="24">
        <f>SUM(Q243:Q245)</f>
        <v>5</v>
      </c>
      <c r="R246" s="24">
        <f>SUM(R243:R245)</f>
        <v>0</v>
      </c>
      <c r="S246" s="24">
        <f>SUM(S243:S245)</f>
        <v>0</v>
      </c>
      <c r="T246" s="24">
        <f>SUM(T243:T245)</f>
        <v>0</v>
      </c>
      <c r="U246" s="24">
        <f>SUM(U243:U245)</f>
        <v>113</v>
      </c>
      <c r="V246" s="26">
        <f>IF(I246-Q246=0,"",IF(D246="",(P246+S246)/(I246-Q246),IF(AND(D246&lt;&gt;"",(P246+S246)/(I246-Q246)&gt;=50%),(P246+S246)/(I246-Q246),"")))</f>
        <v>1</v>
      </c>
      <c r="W246" s="26">
        <f>IF(I246=O246,"",IF(V246="",0,(P246+Q246+S246-O246)/(I246-O246)))</f>
        <v>1</v>
      </c>
      <c r="X246" s="30"/>
      <c r="Y246" s="30"/>
      <c r="Z246" s="30"/>
      <c r="AA246" s="30"/>
      <c r="AB246" s="34"/>
      <c r="AC246" s="30"/>
      <c r="AD246" s="30"/>
      <c r="AE246" s="30"/>
      <c r="AF246" s="30"/>
      <c r="AG246" s="30"/>
      <c r="AH246" s="30"/>
      <c r="AI246" s="30"/>
      <c r="AJ246" s="30"/>
      <c r="AK246" s="30"/>
      <c r="AL246" s="30"/>
      <c r="AM246" s="30"/>
      <c r="AN246" s="30"/>
      <c r="AO246" s="30"/>
    </row>
    <row r="247" spans="1:41" s="39" customFormat="1" ht="19.5" customHeight="1">
      <c r="A247" s="32"/>
      <c r="B247" s="138" t="s">
        <v>83</v>
      </c>
      <c r="C247" s="105" t="s">
        <v>2</v>
      </c>
      <c r="D247" s="29" t="s">
        <v>30</v>
      </c>
      <c r="E247" s="16" t="s">
        <v>216</v>
      </c>
      <c r="F247" s="15"/>
      <c r="G247" s="15"/>
      <c r="H247" s="15"/>
      <c r="I247" s="17"/>
      <c r="J247" s="15"/>
      <c r="K247" s="15"/>
      <c r="L247" s="15"/>
      <c r="M247" s="15"/>
      <c r="N247" s="15"/>
      <c r="O247" s="15"/>
      <c r="P247" s="15"/>
      <c r="Q247" s="15"/>
      <c r="R247" s="15"/>
      <c r="S247" s="15"/>
      <c r="T247" s="15"/>
      <c r="U247" s="15"/>
      <c r="V247" s="18"/>
      <c r="W247" s="18"/>
      <c r="X247" s="30"/>
      <c r="Y247" s="30"/>
      <c r="Z247" s="30"/>
      <c r="AA247" s="30"/>
      <c r="AB247" s="34"/>
      <c r="AC247" s="30"/>
      <c r="AD247" s="30"/>
      <c r="AE247" s="30"/>
      <c r="AF247" s="30"/>
      <c r="AG247" s="30"/>
      <c r="AH247" s="30"/>
      <c r="AI247" s="30"/>
      <c r="AJ247" s="30"/>
      <c r="AK247" s="30"/>
      <c r="AL247" s="30"/>
      <c r="AM247" s="30"/>
      <c r="AN247" s="30"/>
      <c r="AO247" s="30"/>
    </row>
    <row r="248" spans="1:41" s="39" customFormat="1" ht="18.75" customHeight="1">
      <c r="A248" s="32">
        <v>13</v>
      </c>
      <c r="B248" s="139"/>
      <c r="C248" s="106" t="str">
        <f>IF(A248="","VARA",VLOOKUP(A248,'[1]varas'!$A$4:$B$67,2))</f>
        <v>13ª VT Recife</v>
      </c>
      <c r="D248" s="15"/>
      <c r="E248" s="16"/>
      <c r="F248" s="15">
        <f>18+21+5</f>
        <v>44</v>
      </c>
      <c r="G248" s="15">
        <v>7</v>
      </c>
      <c r="H248" s="15">
        <v>54</v>
      </c>
      <c r="I248" s="17">
        <f>SUM(F248:H248)</f>
        <v>105</v>
      </c>
      <c r="J248" s="15">
        <v>13</v>
      </c>
      <c r="K248" s="15">
        <v>3</v>
      </c>
      <c r="L248" s="15">
        <v>2</v>
      </c>
      <c r="M248" s="15">
        <v>3</v>
      </c>
      <c r="N248" s="15">
        <v>0</v>
      </c>
      <c r="O248" s="15">
        <v>21</v>
      </c>
      <c r="P248" s="15">
        <f>SUM(J248:O248)</f>
        <v>42</v>
      </c>
      <c r="Q248" s="15">
        <v>6</v>
      </c>
      <c r="R248" s="15">
        <v>57</v>
      </c>
      <c r="S248" s="15">
        <v>0</v>
      </c>
      <c r="T248" s="15">
        <v>0</v>
      </c>
      <c r="U248" s="15">
        <v>88</v>
      </c>
      <c r="V248" s="18"/>
      <c r="W248" s="18"/>
      <c r="X248" s="30"/>
      <c r="Y248" s="30"/>
      <c r="Z248" s="30"/>
      <c r="AA248" s="30"/>
      <c r="AB248" s="34"/>
      <c r="AC248" s="30"/>
      <c r="AD248" s="30"/>
      <c r="AE248" s="30"/>
      <c r="AF248" s="30"/>
      <c r="AG248" s="30"/>
      <c r="AH248" s="30"/>
      <c r="AI248" s="30"/>
      <c r="AJ248" s="30"/>
      <c r="AK248" s="30"/>
      <c r="AL248" s="30"/>
      <c r="AM248" s="30"/>
      <c r="AN248" s="30"/>
      <c r="AO248" s="30"/>
    </row>
    <row r="249" spans="1:41" s="53" customFormat="1" ht="16.5" customHeight="1">
      <c r="A249" s="47"/>
      <c r="B249" s="134"/>
      <c r="C249" s="107" t="s">
        <v>12</v>
      </c>
      <c r="D249" s="51"/>
      <c r="E249" s="52"/>
      <c r="F249" s="24">
        <f>SUM(F247:F248)</f>
        <v>44</v>
      </c>
      <c r="G249" s="24">
        <f>SUM(G247:G248)</f>
        <v>7</v>
      </c>
      <c r="H249" s="24">
        <f>SUM(H247:H248)</f>
        <v>54</v>
      </c>
      <c r="I249" s="25">
        <f>SUM(F249:H249)</f>
        <v>105</v>
      </c>
      <c r="J249" s="24">
        <f aca="true" t="shared" si="72" ref="J249:O249">SUM(J247:J248)</f>
        <v>13</v>
      </c>
      <c r="K249" s="24">
        <f t="shared" si="72"/>
        <v>3</v>
      </c>
      <c r="L249" s="24">
        <f t="shared" si="72"/>
        <v>2</v>
      </c>
      <c r="M249" s="24">
        <f t="shared" si="72"/>
        <v>3</v>
      </c>
      <c r="N249" s="24">
        <f t="shared" si="72"/>
        <v>0</v>
      </c>
      <c r="O249" s="24">
        <f t="shared" si="72"/>
        <v>21</v>
      </c>
      <c r="P249" s="24">
        <f>SUM(J249:O249)</f>
        <v>42</v>
      </c>
      <c r="Q249" s="24">
        <f>SUM(Q247:Q248)</f>
        <v>6</v>
      </c>
      <c r="R249" s="24">
        <f>SUM(R247:R248)</f>
        <v>57</v>
      </c>
      <c r="S249" s="24">
        <f>SUM(S247:S248)</f>
        <v>0</v>
      </c>
      <c r="T249" s="24">
        <f>SUM(T247:T248)</f>
        <v>0</v>
      </c>
      <c r="U249" s="24">
        <f>SUM(U247:U248)</f>
        <v>88</v>
      </c>
      <c r="V249" s="26">
        <f>IF(I249-Q249=0,"",IF(D249="",(P249+S249)/(I249-Q249),IF(AND(D249&lt;&gt;"",(P249+S249)/(I249-Q249)&gt;=50%),(P249+S249)/(I249-Q249),"")))</f>
        <v>0.42424242424242425</v>
      </c>
      <c r="W249" s="26">
        <f>IF(I249=O249,"",IF(V249="",0,(P249+Q249+S249-O249)/(I249-O249)))</f>
        <v>0.32142857142857145</v>
      </c>
      <c r="X249" s="49"/>
      <c r="Y249" s="49"/>
      <c r="Z249" s="49"/>
      <c r="AA249" s="49"/>
      <c r="AB249" s="50"/>
      <c r="AC249" s="49"/>
      <c r="AD249" s="49"/>
      <c r="AE249" s="49"/>
      <c r="AF249" s="49"/>
      <c r="AG249" s="49"/>
      <c r="AH249" s="49"/>
      <c r="AI249" s="49"/>
      <c r="AJ249" s="49"/>
      <c r="AK249" s="49"/>
      <c r="AL249" s="49"/>
      <c r="AM249" s="49"/>
      <c r="AN249" s="49"/>
      <c r="AO249" s="49"/>
    </row>
    <row r="250" spans="1:41" s="53" customFormat="1" ht="21.75" customHeight="1">
      <c r="A250" s="47"/>
      <c r="B250" s="138" t="s">
        <v>84</v>
      </c>
      <c r="C250" s="105" t="s">
        <v>154</v>
      </c>
      <c r="D250" s="29"/>
      <c r="E250" s="16" t="s">
        <v>27</v>
      </c>
      <c r="F250" s="15"/>
      <c r="G250" s="15"/>
      <c r="H250" s="15"/>
      <c r="I250" s="17"/>
      <c r="J250" s="15"/>
      <c r="K250" s="15"/>
      <c r="L250" s="15"/>
      <c r="M250" s="15"/>
      <c r="N250" s="15"/>
      <c r="O250" s="15"/>
      <c r="P250" s="15"/>
      <c r="Q250" s="15"/>
      <c r="R250" s="15"/>
      <c r="S250" s="15"/>
      <c r="T250" s="15"/>
      <c r="U250" s="15"/>
      <c r="V250" s="18"/>
      <c r="W250" s="18"/>
      <c r="X250" s="49"/>
      <c r="Y250" s="49"/>
      <c r="Z250" s="49"/>
      <c r="AA250" s="49"/>
      <c r="AB250" s="50"/>
      <c r="AC250" s="49"/>
      <c r="AD250" s="49"/>
      <c r="AE250" s="49"/>
      <c r="AF250" s="49"/>
      <c r="AG250" s="49"/>
      <c r="AH250" s="49"/>
      <c r="AI250" s="49"/>
      <c r="AJ250" s="49"/>
      <c r="AK250" s="49"/>
      <c r="AL250" s="49"/>
      <c r="AM250" s="49"/>
      <c r="AN250" s="49"/>
      <c r="AO250" s="49"/>
    </row>
    <row r="251" spans="1:41" s="53" customFormat="1" ht="22.5" customHeight="1">
      <c r="A251" s="47">
        <v>20</v>
      </c>
      <c r="B251" s="139"/>
      <c r="C251" s="106" t="str">
        <f>IF(A251="","VARA",VLOOKUP(A251,'[1]varas'!$A$4:$B$67,2))</f>
        <v>20ª VT Recife</v>
      </c>
      <c r="D251" s="15"/>
      <c r="E251" s="16"/>
      <c r="F251" s="15">
        <f>52+41+11+8</f>
        <v>112</v>
      </c>
      <c r="G251" s="15">
        <v>0</v>
      </c>
      <c r="H251" s="15">
        <v>0</v>
      </c>
      <c r="I251" s="17">
        <f>SUM(F251:H251)</f>
        <v>112</v>
      </c>
      <c r="J251" s="15">
        <v>4</v>
      </c>
      <c r="K251" s="15">
        <v>48</v>
      </c>
      <c r="L251" s="15">
        <v>11</v>
      </c>
      <c r="M251" s="15">
        <v>8</v>
      </c>
      <c r="N251" s="15">
        <v>0</v>
      </c>
      <c r="O251" s="15">
        <v>41</v>
      </c>
      <c r="P251" s="15">
        <f>SUM(J251:O251)</f>
        <v>112</v>
      </c>
      <c r="Q251" s="15">
        <v>0</v>
      </c>
      <c r="R251" s="15">
        <v>0</v>
      </c>
      <c r="S251" s="15">
        <v>0</v>
      </c>
      <c r="T251" s="15">
        <v>0</v>
      </c>
      <c r="U251" s="15">
        <v>216</v>
      </c>
      <c r="V251" s="18"/>
      <c r="W251" s="18"/>
      <c r="X251" s="49"/>
      <c r="Y251" s="49"/>
      <c r="Z251" s="49"/>
      <c r="AA251" s="49"/>
      <c r="AB251" s="50"/>
      <c r="AC251" s="49"/>
      <c r="AD251" s="49"/>
      <c r="AE251" s="49"/>
      <c r="AF251" s="49"/>
      <c r="AG251" s="49"/>
      <c r="AH251" s="49"/>
      <c r="AI251" s="49"/>
      <c r="AJ251" s="49"/>
      <c r="AK251" s="49"/>
      <c r="AL251" s="49"/>
      <c r="AM251" s="49"/>
      <c r="AN251" s="49"/>
      <c r="AO251" s="49"/>
    </row>
    <row r="252" spans="1:41" s="53" customFormat="1" ht="22.5" customHeight="1">
      <c r="A252" s="47"/>
      <c r="B252" s="134"/>
      <c r="C252" s="107" t="s">
        <v>12</v>
      </c>
      <c r="D252" s="33"/>
      <c r="E252" s="23"/>
      <c r="F252" s="24">
        <f>SUM(F250:F251)</f>
        <v>112</v>
      </c>
      <c r="G252" s="24">
        <f>SUM(G250:G251)</f>
        <v>0</v>
      </c>
      <c r="H252" s="24">
        <f>SUM(H250:H251)</f>
        <v>0</v>
      </c>
      <c r="I252" s="40">
        <f>SUM(F252:H252)</f>
        <v>112</v>
      </c>
      <c r="J252" s="24">
        <f aca="true" t="shared" si="73" ref="J252:O252">SUM(J250:J251)</f>
        <v>4</v>
      </c>
      <c r="K252" s="24">
        <f t="shared" si="73"/>
        <v>48</v>
      </c>
      <c r="L252" s="24">
        <f t="shared" si="73"/>
        <v>11</v>
      </c>
      <c r="M252" s="24">
        <f t="shared" si="73"/>
        <v>8</v>
      </c>
      <c r="N252" s="24">
        <f t="shared" si="73"/>
        <v>0</v>
      </c>
      <c r="O252" s="24">
        <f t="shared" si="73"/>
        <v>41</v>
      </c>
      <c r="P252" s="24">
        <f>SUM(J252:O252)</f>
        <v>112</v>
      </c>
      <c r="Q252" s="24">
        <f>SUM(Q250:Q251)</f>
        <v>0</v>
      </c>
      <c r="R252" s="24">
        <f>SUM(R250:R251)</f>
        <v>0</v>
      </c>
      <c r="S252" s="24">
        <f>SUM(S250:S251)</f>
        <v>0</v>
      </c>
      <c r="T252" s="24">
        <f>SUM(T250:T251)</f>
        <v>0</v>
      </c>
      <c r="U252" s="24">
        <f>SUM(U250:U251)</f>
        <v>216</v>
      </c>
      <c r="V252" s="26">
        <f>IF(I252-Q252=0,"",IF(D252="",(P252+S252)/(I252-Q252),IF(AND(D252&lt;&gt;"",(P252+S252)/(I252-Q252)&gt;=50%),(P252+S252)/(I252-Q252),"")))</f>
        <v>1</v>
      </c>
      <c r="W252" s="26">
        <f>IF(I252=O252,"",IF(V252="",0,(P252+Q252+S252-O252)/(I252-O252)))</f>
        <v>1</v>
      </c>
      <c r="X252" s="49"/>
      <c r="Y252" s="49"/>
      <c r="Z252" s="49"/>
      <c r="AA252" s="49"/>
      <c r="AB252" s="50"/>
      <c r="AC252" s="49"/>
      <c r="AD252" s="49"/>
      <c r="AE252" s="49"/>
      <c r="AF252" s="49"/>
      <c r="AG252" s="49"/>
      <c r="AH252" s="49"/>
      <c r="AI252" s="49"/>
      <c r="AJ252" s="49"/>
      <c r="AK252" s="49"/>
      <c r="AL252" s="49"/>
      <c r="AM252" s="49"/>
      <c r="AN252" s="49"/>
      <c r="AO252" s="49"/>
    </row>
    <row r="253" spans="1:41" s="39" customFormat="1" ht="24.75" customHeight="1">
      <c r="A253" s="32"/>
      <c r="B253" s="138" t="s">
        <v>169</v>
      </c>
      <c r="C253" s="105" t="s">
        <v>156</v>
      </c>
      <c r="D253" s="29"/>
      <c r="E253" s="16" t="s">
        <v>27</v>
      </c>
      <c r="F253" s="15"/>
      <c r="G253" s="15"/>
      <c r="H253" s="15"/>
      <c r="I253" s="17"/>
      <c r="J253" s="15"/>
      <c r="K253" s="15"/>
      <c r="L253" s="15"/>
      <c r="M253" s="15"/>
      <c r="N253" s="15"/>
      <c r="O253" s="15"/>
      <c r="P253" s="15"/>
      <c r="Q253" s="15"/>
      <c r="R253" s="15"/>
      <c r="S253" s="15"/>
      <c r="T253" s="15"/>
      <c r="U253" s="15"/>
      <c r="V253" s="18"/>
      <c r="W253" s="18"/>
      <c r="X253" s="30"/>
      <c r="Y253" s="30"/>
      <c r="Z253" s="30"/>
      <c r="AA253" s="30"/>
      <c r="AB253" s="34"/>
      <c r="AC253" s="30"/>
      <c r="AD253" s="30"/>
      <c r="AE253" s="30"/>
      <c r="AF253" s="30"/>
      <c r="AG253" s="30"/>
      <c r="AH253" s="30"/>
      <c r="AI253" s="30"/>
      <c r="AJ253" s="30"/>
      <c r="AK253" s="30"/>
      <c r="AL253" s="30"/>
      <c r="AM253" s="30"/>
      <c r="AN253" s="30"/>
      <c r="AO253" s="30"/>
    </row>
    <row r="254" spans="1:41" s="39" customFormat="1" ht="21.75" customHeight="1">
      <c r="A254" s="32">
        <v>37</v>
      </c>
      <c r="B254" s="139"/>
      <c r="C254" s="106" t="str">
        <f>IF(A254="","VARA",VLOOKUP(A254,'[1]varas'!$A$4:$B$67,2))</f>
        <v>4ª VT Jaboatão</v>
      </c>
      <c r="D254" s="15"/>
      <c r="E254" s="16"/>
      <c r="F254" s="15">
        <f>36+20+8+4</f>
        <v>68</v>
      </c>
      <c r="G254" s="15">
        <v>6</v>
      </c>
      <c r="H254" s="15">
        <v>0</v>
      </c>
      <c r="I254" s="17">
        <f>SUM(F254:H254)</f>
        <v>74</v>
      </c>
      <c r="J254" s="15">
        <v>27</v>
      </c>
      <c r="K254" s="15">
        <v>12</v>
      </c>
      <c r="L254" s="15">
        <v>8</v>
      </c>
      <c r="M254" s="15">
        <v>4</v>
      </c>
      <c r="N254" s="15">
        <v>0</v>
      </c>
      <c r="O254" s="15">
        <v>20</v>
      </c>
      <c r="P254" s="15">
        <f>SUM(J254:O254)</f>
        <v>71</v>
      </c>
      <c r="Q254" s="15">
        <v>3</v>
      </c>
      <c r="R254" s="15">
        <v>0</v>
      </c>
      <c r="S254" s="15">
        <v>0</v>
      </c>
      <c r="T254" s="15">
        <v>0</v>
      </c>
      <c r="U254" s="15">
        <v>143</v>
      </c>
      <c r="V254" s="18"/>
      <c r="W254" s="18"/>
      <c r="X254" s="30"/>
      <c r="Y254" s="30"/>
      <c r="Z254" s="30"/>
      <c r="AA254" s="30"/>
      <c r="AB254" s="34"/>
      <c r="AC254" s="30"/>
      <c r="AD254" s="30"/>
      <c r="AE254" s="30"/>
      <c r="AF254" s="30"/>
      <c r="AG254" s="30"/>
      <c r="AH254" s="30"/>
      <c r="AI254" s="30"/>
      <c r="AJ254" s="30"/>
      <c r="AK254" s="30"/>
      <c r="AL254" s="30"/>
      <c r="AM254" s="30"/>
      <c r="AN254" s="30"/>
      <c r="AO254" s="30"/>
    </row>
    <row r="255" spans="1:41" s="39" customFormat="1" ht="21.75" customHeight="1">
      <c r="A255" s="32">
        <v>60</v>
      </c>
      <c r="B255" s="139"/>
      <c r="C255" s="106" t="str">
        <f>IF(A255="","VARA",VLOOKUP(A255,'[1]varas'!$A$4:$B$67,2))</f>
        <v>VT Timbaúba</v>
      </c>
      <c r="D255" s="15"/>
      <c r="E255" s="16"/>
      <c r="F255" s="15">
        <v>6</v>
      </c>
      <c r="G255" s="15">
        <v>0</v>
      </c>
      <c r="H255" s="15">
        <v>0</v>
      </c>
      <c r="I255" s="17">
        <f>SUM(F255:H255)</f>
        <v>6</v>
      </c>
      <c r="J255" s="15">
        <v>6</v>
      </c>
      <c r="K255" s="15">
        <v>0</v>
      </c>
      <c r="L255" s="15">
        <v>0</v>
      </c>
      <c r="M255" s="15">
        <v>0</v>
      </c>
      <c r="N255" s="15">
        <v>0</v>
      </c>
      <c r="O255" s="15">
        <v>0</v>
      </c>
      <c r="P255" s="15">
        <f>SUM(J255:O255)</f>
        <v>6</v>
      </c>
      <c r="Q255" s="15">
        <v>0</v>
      </c>
      <c r="R255" s="15">
        <v>0</v>
      </c>
      <c r="S255" s="15">
        <v>0</v>
      </c>
      <c r="T255" s="15">
        <v>0</v>
      </c>
      <c r="U255" s="15">
        <v>12</v>
      </c>
      <c r="V255" s="18"/>
      <c r="W255" s="18"/>
      <c r="X255" s="30"/>
      <c r="Y255" s="30"/>
      <c r="Z255" s="30"/>
      <c r="AA255" s="30"/>
      <c r="AB255" s="34"/>
      <c r="AC255" s="30"/>
      <c r="AD255" s="30"/>
      <c r="AE255" s="30"/>
      <c r="AF255" s="30"/>
      <c r="AG255" s="30"/>
      <c r="AH255" s="30"/>
      <c r="AI255" s="30"/>
      <c r="AJ255" s="30"/>
      <c r="AK255" s="30"/>
      <c r="AL255" s="30"/>
      <c r="AM255" s="30"/>
      <c r="AN255" s="30"/>
      <c r="AO255" s="30"/>
    </row>
    <row r="256" spans="1:41" s="39" customFormat="1" ht="21.75" customHeight="1">
      <c r="A256" s="32">
        <v>48</v>
      </c>
      <c r="B256" s="139"/>
      <c r="C256" s="106" t="str">
        <f>IF(A256="","VARA",VLOOKUP(A256,'[1]varas'!$A$4:$B$67,2))</f>
        <v>VT Catende</v>
      </c>
      <c r="D256" s="15"/>
      <c r="E256" s="16"/>
      <c r="F256" s="15">
        <v>7</v>
      </c>
      <c r="G256" s="15">
        <v>0</v>
      </c>
      <c r="H256" s="15">
        <v>0</v>
      </c>
      <c r="I256" s="17">
        <f>SUM(F256:H256)</f>
        <v>7</v>
      </c>
      <c r="J256" s="15">
        <v>3</v>
      </c>
      <c r="K256" s="15">
        <v>1</v>
      </c>
      <c r="L256" s="15">
        <v>0</v>
      </c>
      <c r="M256" s="15">
        <v>0</v>
      </c>
      <c r="N256" s="15">
        <v>0</v>
      </c>
      <c r="O256" s="15">
        <v>3</v>
      </c>
      <c r="P256" s="15">
        <f>SUM(J256:O256)</f>
        <v>7</v>
      </c>
      <c r="Q256" s="15">
        <v>0</v>
      </c>
      <c r="R256" s="15">
        <v>0</v>
      </c>
      <c r="S256" s="15">
        <v>0</v>
      </c>
      <c r="T256" s="15">
        <v>0</v>
      </c>
      <c r="U256" s="15">
        <v>29</v>
      </c>
      <c r="V256" s="18"/>
      <c r="W256" s="18"/>
      <c r="X256" s="30"/>
      <c r="Y256" s="30"/>
      <c r="Z256" s="30"/>
      <c r="AA256" s="30"/>
      <c r="AB256" s="34"/>
      <c r="AC256" s="30"/>
      <c r="AD256" s="30"/>
      <c r="AE256" s="30"/>
      <c r="AF256" s="30"/>
      <c r="AG256" s="30"/>
      <c r="AH256" s="30"/>
      <c r="AI256" s="30"/>
      <c r="AJ256" s="30"/>
      <c r="AK256" s="30"/>
      <c r="AL256" s="30"/>
      <c r="AM256" s="30"/>
      <c r="AN256" s="30"/>
      <c r="AO256" s="30"/>
    </row>
    <row r="257" spans="1:41" s="39" customFormat="1" ht="20.25" customHeight="1">
      <c r="A257" s="32"/>
      <c r="B257" s="134"/>
      <c r="C257" s="107" t="s">
        <v>12</v>
      </c>
      <c r="D257" s="33"/>
      <c r="E257" s="23"/>
      <c r="F257" s="24">
        <f>SUM(F253:F256)</f>
        <v>81</v>
      </c>
      <c r="G257" s="24">
        <f>SUM(G253:G256)</f>
        <v>6</v>
      </c>
      <c r="H257" s="24">
        <f>SUM(H253:H256)</f>
        <v>0</v>
      </c>
      <c r="I257" s="40">
        <f>SUM(F257:H257)</f>
        <v>87</v>
      </c>
      <c r="J257" s="24">
        <f aca="true" t="shared" si="74" ref="J257:O257">SUM(J253:J256)</f>
        <v>36</v>
      </c>
      <c r="K257" s="24">
        <f t="shared" si="74"/>
        <v>13</v>
      </c>
      <c r="L257" s="24">
        <f t="shared" si="74"/>
        <v>8</v>
      </c>
      <c r="M257" s="24">
        <f t="shared" si="74"/>
        <v>4</v>
      </c>
      <c r="N257" s="24">
        <f t="shared" si="74"/>
        <v>0</v>
      </c>
      <c r="O257" s="24">
        <f t="shared" si="74"/>
        <v>23</v>
      </c>
      <c r="P257" s="24">
        <f>SUM(J257:O257)</f>
        <v>84</v>
      </c>
      <c r="Q257" s="24">
        <f>SUM(Q253:Q256)</f>
        <v>3</v>
      </c>
      <c r="R257" s="24">
        <f>SUM(R253:R256)</f>
        <v>0</v>
      </c>
      <c r="S257" s="24">
        <f>SUM(S253:S256)</f>
        <v>0</v>
      </c>
      <c r="T257" s="24">
        <f>SUM(T253:T256)</f>
        <v>0</v>
      </c>
      <c r="U257" s="24">
        <f>SUM(U253:U256)</f>
        <v>184</v>
      </c>
      <c r="V257" s="26">
        <f>IF(I257-Q257=0,"",IF(D257="",(P257+S257)/(I257-Q257),IF(AND(D257&lt;&gt;"",(P257+S257)/(I257-Q257)&gt;=50%),(P257+S257)/(I257-Q257),"")))</f>
        <v>1</v>
      </c>
      <c r="W257" s="26">
        <f>IF(I257=O257,"",IF(V257="",0,(P257+Q257+S257-O257)/(I257-O257)))</f>
        <v>1</v>
      </c>
      <c r="X257" s="30"/>
      <c r="Y257" s="30"/>
      <c r="Z257" s="30"/>
      <c r="AA257" s="30"/>
      <c r="AB257" s="34"/>
      <c r="AC257" s="30"/>
      <c r="AD257" s="30"/>
      <c r="AE257" s="30"/>
      <c r="AF257" s="30"/>
      <c r="AG257" s="30"/>
      <c r="AH257" s="30"/>
      <c r="AI257" s="30"/>
      <c r="AJ257" s="30"/>
      <c r="AK257" s="30"/>
      <c r="AL257" s="30"/>
      <c r="AM257" s="30"/>
      <c r="AN257" s="30"/>
      <c r="AO257" s="30"/>
    </row>
    <row r="258" spans="1:41" s="39" customFormat="1" ht="25.5" customHeight="1">
      <c r="A258" s="32"/>
      <c r="B258" s="130" t="s">
        <v>85</v>
      </c>
      <c r="C258" s="14" t="s">
        <v>2</v>
      </c>
      <c r="D258" s="29" t="s">
        <v>43</v>
      </c>
      <c r="E258" s="16" t="s">
        <v>222</v>
      </c>
      <c r="F258" s="15"/>
      <c r="G258" s="15"/>
      <c r="H258" s="15"/>
      <c r="I258" s="17"/>
      <c r="J258" s="15"/>
      <c r="K258" s="15"/>
      <c r="L258" s="15"/>
      <c r="M258" s="15"/>
      <c r="N258" s="15"/>
      <c r="O258" s="15"/>
      <c r="P258" s="15"/>
      <c r="Q258" s="15"/>
      <c r="R258" s="15"/>
      <c r="S258" s="15"/>
      <c r="T258" s="15"/>
      <c r="U258" s="15"/>
      <c r="V258" s="18"/>
      <c r="W258" s="18"/>
      <c r="X258" s="30"/>
      <c r="Y258" s="30"/>
      <c r="Z258" s="30"/>
      <c r="AA258" s="30"/>
      <c r="AB258" s="34"/>
      <c r="AC258" s="30"/>
      <c r="AD258" s="30"/>
      <c r="AE258" s="30"/>
      <c r="AF258" s="30"/>
      <c r="AG258" s="30"/>
      <c r="AH258" s="30"/>
      <c r="AI258" s="30"/>
      <c r="AJ258" s="30"/>
      <c r="AK258" s="30"/>
      <c r="AL258" s="30"/>
      <c r="AM258" s="30"/>
      <c r="AN258" s="30"/>
      <c r="AO258" s="30"/>
    </row>
    <row r="259" spans="1:41" s="39" customFormat="1" ht="21" customHeight="1">
      <c r="A259" s="32">
        <v>28</v>
      </c>
      <c r="B259" s="137"/>
      <c r="C259" s="20" t="str">
        <f>IF(A259="","VARA",VLOOKUP(A259,'[1]varas'!$A$4:$B$67,2))</f>
        <v>1ª VT Caruaru</v>
      </c>
      <c r="D259" s="15"/>
      <c r="E259" s="16"/>
      <c r="F259" s="15">
        <v>0</v>
      </c>
      <c r="G259" s="15">
        <v>0</v>
      </c>
      <c r="H259" s="15">
        <v>0</v>
      </c>
      <c r="I259" s="17">
        <f>SUM(F259:H259)</f>
        <v>0</v>
      </c>
      <c r="J259" s="15">
        <v>0</v>
      </c>
      <c r="K259" s="15">
        <v>0</v>
      </c>
      <c r="L259" s="15">
        <v>0</v>
      </c>
      <c r="M259" s="15">
        <v>0</v>
      </c>
      <c r="N259" s="15">
        <v>0</v>
      </c>
      <c r="O259" s="15">
        <v>0</v>
      </c>
      <c r="P259" s="15">
        <f>SUM(J259:O259)</f>
        <v>0</v>
      </c>
      <c r="Q259" s="15">
        <v>0</v>
      </c>
      <c r="R259" s="15">
        <v>0</v>
      </c>
      <c r="S259" s="15">
        <v>0</v>
      </c>
      <c r="T259" s="15">
        <v>0</v>
      </c>
      <c r="U259" s="15">
        <v>0</v>
      </c>
      <c r="V259" s="18"/>
      <c r="W259" s="18"/>
      <c r="X259" s="30"/>
      <c r="Y259" s="30"/>
      <c r="Z259" s="30"/>
      <c r="AA259" s="30"/>
      <c r="AB259" s="34"/>
      <c r="AC259" s="30"/>
      <c r="AD259" s="30"/>
      <c r="AE259" s="30"/>
      <c r="AF259" s="30"/>
      <c r="AG259" s="30"/>
      <c r="AH259" s="30"/>
      <c r="AI259" s="30"/>
      <c r="AJ259" s="30"/>
      <c r="AK259" s="30"/>
      <c r="AL259" s="30"/>
      <c r="AM259" s="30"/>
      <c r="AN259" s="30"/>
      <c r="AO259" s="30"/>
    </row>
    <row r="260" spans="1:41" s="39" customFormat="1" ht="23.25" customHeight="1">
      <c r="A260" s="32">
        <v>29</v>
      </c>
      <c r="B260" s="137"/>
      <c r="C260" s="20" t="str">
        <f>IF(A260="","VARA",VLOOKUP(A260,'[1]varas'!$A$4:$B$67,2))</f>
        <v>2ª VT Caruaru</v>
      </c>
      <c r="D260" s="15"/>
      <c r="E260" s="16"/>
      <c r="F260" s="15">
        <f>28+41+9</f>
        <v>78</v>
      </c>
      <c r="G260" s="15">
        <v>0</v>
      </c>
      <c r="H260" s="15">
        <v>2</v>
      </c>
      <c r="I260" s="17">
        <f>SUM(F260:H260)</f>
        <v>80</v>
      </c>
      <c r="J260" s="15">
        <v>12</v>
      </c>
      <c r="K260" s="15">
        <v>13</v>
      </c>
      <c r="L260" s="15">
        <v>9</v>
      </c>
      <c r="M260" s="15">
        <v>0</v>
      </c>
      <c r="N260" s="15">
        <v>0</v>
      </c>
      <c r="O260" s="15">
        <v>41</v>
      </c>
      <c r="P260" s="15">
        <f>SUM(J260:O260)</f>
        <v>75</v>
      </c>
      <c r="Q260" s="15">
        <v>5</v>
      </c>
      <c r="R260" s="15">
        <v>0</v>
      </c>
      <c r="S260" s="15">
        <v>0</v>
      </c>
      <c r="T260" s="15">
        <v>0</v>
      </c>
      <c r="U260" s="15">
        <v>207</v>
      </c>
      <c r="V260" s="18"/>
      <c r="W260" s="18"/>
      <c r="X260" s="30"/>
      <c r="Y260" s="30"/>
      <c r="Z260" s="30"/>
      <c r="AA260" s="30"/>
      <c r="AB260" s="34"/>
      <c r="AC260" s="30"/>
      <c r="AD260" s="30"/>
      <c r="AE260" s="30"/>
      <c r="AF260" s="30"/>
      <c r="AG260" s="30"/>
      <c r="AH260" s="30"/>
      <c r="AI260" s="30"/>
      <c r="AJ260" s="30"/>
      <c r="AK260" s="30"/>
      <c r="AL260" s="30"/>
      <c r="AM260" s="30"/>
      <c r="AN260" s="30"/>
      <c r="AO260" s="30"/>
    </row>
    <row r="261" spans="1:41" s="39" customFormat="1" ht="18.75" customHeight="1">
      <c r="A261" s="32">
        <v>30</v>
      </c>
      <c r="B261" s="137"/>
      <c r="C261" s="20" t="str">
        <f>IF(A261="","VARA",VLOOKUP(A261,'[1]varas'!$A$4:$B$67,2))</f>
        <v>3ª VT Caruaru</v>
      </c>
      <c r="D261" s="15"/>
      <c r="E261" s="16"/>
      <c r="F261" s="15">
        <v>1</v>
      </c>
      <c r="G261" s="15">
        <v>0</v>
      </c>
      <c r="H261" s="15">
        <v>6</v>
      </c>
      <c r="I261" s="17">
        <f>SUM(F261:H261)</f>
        <v>7</v>
      </c>
      <c r="J261" s="15">
        <v>6</v>
      </c>
      <c r="K261" s="15">
        <v>0</v>
      </c>
      <c r="L261" s="15">
        <v>0</v>
      </c>
      <c r="M261" s="15">
        <v>0</v>
      </c>
      <c r="N261" s="15">
        <v>0</v>
      </c>
      <c r="O261" s="15">
        <v>0</v>
      </c>
      <c r="P261" s="15">
        <f>SUM(J261:O261)</f>
        <v>6</v>
      </c>
      <c r="Q261" s="15">
        <v>0</v>
      </c>
      <c r="R261" s="15">
        <v>1</v>
      </c>
      <c r="S261" s="15">
        <v>0</v>
      </c>
      <c r="T261" s="15">
        <v>0</v>
      </c>
      <c r="U261" s="15">
        <v>1</v>
      </c>
      <c r="V261" s="18"/>
      <c r="W261" s="18"/>
      <c r="X261" s="30"/>
      <c r="Y261" s="30"/>
      <c r="Z261" s="30"/>
      <c r="AA261" s="30"/>
      <c r="AB261" s="34"/>
      <c r="AC261" s="30"/>
      <c r="AD261" s="30"/>
      <c r="AE261" s="30"/>
      <c r="AF261" s="30"/>
      <c r="AG261" s="30"/>
      <c r="AH261" s="30"/>
      <c r="AI261" s="30"/>
      <c r="AJ261" s="30"/>
      <c r="AK261" s="30"/>
      <c r="AL261" s="30"/>
      <c r="AM261" s="30"/>
      <c r="AN261" s="30"/>
      <c r="AO261" s="30"/>
    </row>
    <row r="262" spans="1:41" s="53" customFormat="1" ht="18.75" customHeight="1">
      <c r="A262" s="47"/>
      <c r="B262" s="131"/>
      <c r="C262" s="20" t="s">
        <v>12</v>
      </c>
      <c r="D262" s="24"/>
      <c r="E262" s="48"/>
      <c r="F262" s="24">
        <f>SUM(F258:F261)</f>
        <v>79</v>
      </c>
      <c r="G262" s="24">
        <f>SUM(G258:G261)</f>
        <v>0</v>
      </c>
      <c r="H262" s="24">
        <f>SUM(H258:H261)</f>
        <v>8</v>
      </c>
      <c r="I262" s="40">
        <f>SUM(F262:H262)</f>
        <v>87</v>
      </c>
      <c r="J262" s="24">
        <f aca="true" t="shared" si="75" ref="J262:O262">SUM(J258:J261)</f>
        <v>18</v>
      </c>
      <c r="K262" s="24">
        <f t="shared" si="75"/>
        <v>13</v>
      </c>
      <c r="L262" s="24">
        <f t="shared" si="75"/>
        <v>9</v>
      </c>
      <c r="M262" s="24">
        <f t="shared" si="75"/>
        <v>0</v>
      </c>
      <c r="N262" s="24">
        <f t="shared" si="75"/>
        <v>0</v>
      </c>
      <c r="O262" s="24">
        <f t="shared" si="75"/>
        <v>41</v>
      </c>
      <c r="P262" s="24">
        <f>SUM(J262:O262)</f>
        <v>81</v>
      </c>
      <c r="Q262" s="24">
        <f>SUM(Q258:Q261)</f>
        <v>5</v>
      </c>
      <c r="R262" s="24">
        <f>SUM(R258:R261)</f>
        <v>1</v>
      </c>
      <c r="S262" s="24">
        <f>SUM(S258:S261)</f>
        <v>0</v>
      </c>
      <c r="T262" s="24">
        <f>SUM(T258:T261)</f>
        <v>0</v>
      </c>
      <c r="U262" s="24">
        <f>SUM(U258:U261)</f>
        <v>208</v>
      </c>
      <c r="V262" s="26">
        <f>IF(I262-Q262=0,"",IF(D262="",(P262+S262)/(I262-Q262),IF(AND(D262&lt;&gt;"",(P262+S262)/(I262-Q262)&gt;=50%),(P262+S262)/(I262-Q262),"")))</f>
        <v>0.9878048780487805</v>
      </c>
      <c r="W262" s="26">
        <f>IF(I262=O262,"",IF(V262="",0,(P262+Q262+S262-O262)/(I262-O262)))</f>
        <v>0.9782608695652174</v>
      </c>
      <c r="X262" s="49"/>
      <c r="Y262" s="49"/>
      <c r="Z262" s="49"/>
      <c r="AA262" s="49"/>
      <c r="AB262" s="50"/>
      <c r="AC262" s="49"/>
      <c r="AD262" s="49"/>
      <c r="AE262" s="49"/>
      <c r="AF262" s="49"/>
      <c r="AG262" s="49"/>
      <c r="AH262" s="49"/>
      <c r="AI262" s="49"/>
      <c r="AJ262" s="49"/>
      <c r="AK262" s="49"/>
      <c r="AL262" s="49"/>
      <c r="AM262" s="49"/>
      <c r="AN262" s="49"/>
      <c r="AO262" s="49"/>
    </row>
    <row r="263" spans="1:41" s="39" customFormat="1" ht="21.75" customHeight="1">
      <c r="A263" s="32"/>
      <c r="B263" s="138" t="s">
        <v>86</v>
      </c>
      <c r="C263" s="105" t="s">
        <v>156</v>
      </c>
      <c r="D263" s="29"/>
      <c r="E263" s="16" t="s">
        <v>27</v>
      </c>
      <c r="F263" s="15"/>
      <c r="G263" s="15"/>
      <c r="H263" s="15"/>
      <c r="I263" s="17"/>
      <c r="J263" s="15"/>
      <c r="K263" s="15"/>
      <c r="L263" s="15"/>
      <c r="M263" s="15"/>
      <c r="N263" s="15"/>
      <c r="O263" s="15"/>
      <c r="P263" s="15"/>
      <c r="Q263" s="15"/>
      <c r="R263" s="15"/>
      <c r="S263" s="15"/>
      <c r="T263" s="15"/>
      <c r="U263" s="15"/>
      <c r="V263" s="18"/>
      <c r="W263" s="18"/>
      <c r="X263" s="30"/>
      <c r="Y263" s="30"/>
      <c r="Z263" s="30"/>
      <c r="AA263" s="30"/>
      <c r="AB263" s="34"/>
      <c r="AC263" s="30"/>
      <c r="AD263" s="30"/>
      <c r="AE263" s="30"/>
      <c r="AF263" s="30"/>
      <c r="AG263" s="30"/>
      <c r="AH263" s="30"/>
      <c r="AI263" s="30"/>
      <c r="AJ263" s="30"/>
      <c r="AK263" s="30"/>
      <c r="AL263" s="30"/>
      <c r="AM263" s="30"/>
      <c r="AN263" s="30"/>
      <c r="AO263" s="30"/>
    </row>
    <row r="264" spans="1:41" s="39" customFormat="1" ht="24" customHeight="1">
      <c r="A264" s="32">
        <v>61</v>
      </c>
      <c r="B264" s="139"/>
      <c r="C264" s="106" t="str">
        <f>IF(A264="","VARA",VLOOKUP(A264,'[1]varas'!$A$4:$B$67,2))</f>
        <v>VT Vitória</v>
      </c>
      <c r="D264" s="15"/>
      <c r="E264" s="16"/>
      <c r="F264" s="15">
        <f>75+34</f>
        <v>109</v>
      </c>
      <c r="G264" s="15">
        <v>0</v>
      </c>
      <c r="H264" s="15">
        <v>7</v>
      </c>
      <c r="I264" s="17">
        <f>SUM(F264:H264)</f>
        <v>116</v>
      </c>
      <c r="J264" s="15">
        <v>78</v>
      </c>
      <c r="K264" s="15">
        <v>0</v>
      </c>
      <c r="L264" s="15">
        <v>1</v>
      </c>
      <c r="M264" s="15">
        <v>0</v>
      </c>
      <c r="N264" s="15">
        <v>0</v>
      </c>
      <c r="O264" s="15">
        <v>33</v>
      </c>
      <c r="P264" s="15">
        <f>SUM(J264:O264)</f>
        <v>112</v>
      </c>
      <c r="Q264" s="15">
        <v>4</v>
      </c>
      <c r="R264" s="15">
        <v>0</v>
      </c>
      <c r="S264" s="15">
        <v>0</v>
      </c>
      <c r="T264" s="15">
        <v>0</v>
      </c>
      <c r="U264" s="15">
        <v>49</v>
      </c>
      <c r="V264" s="18"/>
      <c r="W264" s="18"/>
      <c r="X264" s="30"/>
      <c r="Y264" s="30"/>
      <c r="Z264" s="30"/>
      <c r="AA264" s="30"/>
      <c r="AB264" s="34"/>
      <c r="AC264" s="30"/>
      <c r="AD264" s="30"/>
      <c r="AE264" s="30"/>
      <c r="AF264" s="30"/>
      <c r="AG264" s="30"/>
      <c r="AH264" s="30"/>
      <c r="AI264" s="30"/>
      <c r="AJ264" s="30"/>
      <c r="AK264" s="30"/>
      <c r="AL264" s="30"/>
      <c r="AM264" s="30"/>
      <c r="AN264" s="30"/>
      <c r="AO264" s="30"/>
    </row>
    <row r="265" spans="1:41" s="53" customFormat="1" ht="21" customHeight="1">
      <c r="A265" s="47"/>
      <c r="B265" s="134"/>
      <c r="C265" s="106" t="s">
        <v>12</v>
      </c>
      <c r="D265" s="24"/>
      <c r="E265" s="48"/>
      <c r="F265" s="24">
        <f>SUM(F263:F264)</f>
        <v>109</v>
      </c>
      <c r="G265" s="24">
        <f>SUM(G263:G264)</f>
        <v>0</v>
      </c>
      <c r="H265" s="24">
        <f>SUM(H263:H264)</f>
        <v>7</v>
      </c>
      <c r="I265" s="40">
        <f>SUM(F265:H265)</f>
        <v>116</v>
      </c>
      <c r="J265" s="24">
        <f aca="true" t="shared" si="76" ref="J265:O265">SUM(J263:J264)</f>
        <v>78</v>
      </c>
      <c r="K265" s="24">
        <f t="shared" si="76"/>
        <v>0</v>
      </c>
      <c r="L265" s="24">
        <f t="shared" si="76"/>
        <v>1</v>
      </c>
      <c r="M265" s="24">
        <f t="shared" si="76"/>
        <v>0</v>
      </c>
      <c r="N265" s="24">
        <f t="shared" si="76"/>
        <v>0</v>
      </c>
      <c r="O265" s="24">
        <f t="shared" si="76"/>
        <v>33</v>
      </c>
      <c r="P265" s="24">
        <f>SUM(J265:O265)</f>
        <v>112</v>
      </c>
      <c r="Q265" s="24">
        <f>SUM(Q263:Q264)</f>
        <v>4</v>
      </c>
      <c r="R265" s="24">
        <f>SUM(R263:R264)</f>
        <v>0</v>
      </c>
      <c r="S265" s="24">
        <f>SUM(S263:S264)</f>
        <v>0</v>
      </c>
      <c r="T265" s="24">
        <f>SUM(T263:T264)</f>
        <v>0</v>
      </c>
      <c r="U265" s="24">
        <f>SUM(U263:U264)</f>
        <v>49</v>
      </c>
      <c r="V265" s="26">
        <f>IF(I265-Q265=0,"",IF(D265="",(P265+S265)/(I265-Q265),IF(AND(D265&lt;&gt;"",(P265+S265)/(I265-Q265)&gt;=50%),(P265+S265)/(I265-Q265),"")))</f>
        <v>1</v>
      </c>
      <c r="W265" s="26">
        <f>IF(I265=O265,"",IF(V265="",0,(P265+Q265+S265-O265)/(I265-O265)))</f>
        <v>1</v>
      </c>
      <c r="X265" s="49"/>
      <c r="Y265" s="49"/>
      <c r="Z265" s="49"/>
      <c r="AA265" s="49"/>
      <c r="AB265" s="50"/>
      <c r="AC265" s="49"/>
      <c r="AD265" s="49"/>
      <c r="AE265" s="49"/>
      <c r="AF265" s="49"/>
      <c r="AG265" s="49"/>
      <c r="AH265" s="49"/>
      <c r="AI265" s="49"/>
      <c r="AJ265" s="49"/>
      <c r="AK265" s="49"/>
      <c r="AL265" s="49"/>
      <c r="AM265" s="49"/>
      <c r="AN265" s="49"/>
      <c r="AO265" s="49"/>
    </row>
    <row r="266" spans="1:41" s="39" customFormat="1" ht="24" customHeight="1">
      <c r="A266" s="32"/>
      <c r="B266" s="138" t="s">
        <v>87</v>
      </c>
      <c r="C266" s="105" t="s">
        <v>2</v>
      </c>
      <c r="D266" s="29" t="s">
        <v>223</v>
      </c>
      <c r="E266" s="16" t="s">
        <v>224</v>
      </c>
      <c r="F266" s="15"/>
      <c r="G266" s="15"/>
      <c r="H266" s="15"/>
      <c r="I266" s="17"/>
      <c r="J266" s="15"/>
      <c r="K266" s="15"/>
      <c r="L266" s="15"/>
      <c r="M266" s="15"/>
      <c r="N266" s="15"/>
      <c r="O266" s="15"/>
      <c r="P266" s="15"/>
      <c r="Q266" s="15"/>
      <c r="R266" s="15"/>
      <c r="S266" s="15"/>
      <c r="T266" s="15"/>
      <c r="U266" s="15"/>
      <c r="V266" s="18"/>
      <c r="W266" s="18"/>
      <c r="X266" s="30"/>
      <c r="Y266" s="30"/>
      <c r="Z266" s="30"/>
      <c r="AA266" s="30"/>
      <c r="AB266" s="34"/>
      <c r="AC266" s="30"/>
      <c r="AD266" s="30"/>
      <c r="AE266" s="30"/>
      <c r="AF266" s="30"/>
      <c r="AG266" s="30"/>
      <c r="AH266" s="30"/>
      <c r="AI266" s="30"/>
      <c r="AJ266" s="30"/>
      <c r="AK266" s="30"/>
      <c r="AL266" s="30"/>
      <c r="AM266" s="30"/>
      <c r="AN266" s="30"/>
      <c r="AO266" s="30"/>
    </row>
    <row r="267" spans="1:41" s="39" customFormat="1" ht="21" customHeight="1">
      <c r="A267" s="32">
        <v>24</v>
      </c>
      <c r="B267" s="139"/>
      <c r="C267" s="106" t="str">
        <f>IF(A267="","VARA",VLOOKUP(A267,'[1]varas'!$A$4:$B$67,2))</f>
        <v>1ª VT Barreiros</v>
      </c>
      <c r="D267" s="29"/>
      <c r="E267" s="16"/>
      <c r="F267" s="15">
        <f>30+36+9+5</f>
        <v>80</v>
      </c>
      <c r="G267" s="15">
        <v>2</v>
      </c>
      <c r="H267" s="15">
        <v>0</v>
      </c>
      <c r="I267" s="17">
        <f>SUM(F267:H267)</f>
        <v>82</v>
      </c>
      <c r="J267" s="15">
        <v>14</v>
      </c>
      <c r="K267" s="15">
        <v>7</v>
      </c>
      <c r="L267" s="15">
        <v>9</v>
      </c>
      <c r="M267" s="15">
        <v>5</v>
      </c>
      <c r="N267" s="15">
        <v>0</v>
      </c>
      <c r="O267" s="15">
        <v>36</v>
      </c>
      <c r="P267" s="15">
        <f>SUM(J267:O267)</f>
        <v>71</v>
      </c>
      <c r="Q267" s="15">
        <v>11</v>
      </c>
      <c r="R267" s="15">
        <v>0</v>
      </c>
      <c r="S267" s="15">
        <v>0</v>
      </c>
      <c r="T267" s="15">
        <v>0</v>
      </c>
      <c r="U267" s="15">
        <v>109</v>
      </c>
      <c r="V267" s="18"/>
      <c r="W267" s="18"/>
      <c r="X267" s="30"/>
      <c r="Y267" s="30"/>
      <c r="Z267" s="30"/>
      <c r="AA267" s="30"/>
      <c r="AB267" s="34"/>
      <c r="AC267" s="30"/>
      <c r="AD267" s="30"/>
      <c r="AE267" s="30"/>
      <c r="AF267" s="30"/>
      <c r="AG267" s="30"/>
      <c r="AH267" s="30"/>
      <c r="AI267" s="30"/>
      <c r="AJ267" s="30"/>
      <c r="AK267" s="30"/>
      <c r="AL267" s="30"/>
      <c r="AM267" s="30"/>
      <c r="AN267" s="30"/>
      <c r="AO267" s="30"/>
    </row>
    <row r="268" spans="1:41" s="39" customFormat="1" ht="18" customHeight="1">
      <c r="A268" s="32"/>
      <c r="B268" s="134"/>
      <c r="C268" s="107" t="s">
        <v>12</v>
      </c>
      <c r="D268" s="33"/>
      <c r="E268" s="23"/>
      <c r="F268" s="24">
        <f>SUM(F266:F267)</f>
        <v>80</v>
      </c>
      <c r="G268" s="24">
        <f>SUM(G266:G267)</f>
        <v>2</v>
      </c>
      <c r="H268" s="24">
        <f>SUM(H266:H267)</f>
        <v>0</v>
      </c>
      <c r="I268" s="40">
        <f>SUM(F268:H268)</f>
        <v>82</v>
      </c>
      <c r="J268" s="24">
        <f aca="true" t="shared" si="77" ref="J268:O268">SUM(J266:J267)</f>
        <v>14</v>
      </c>
      <c r="K268" s="24">
        <f t="shared" si="77"/>
        <v>7</v>
      </c>
      <c r="L268" s="24">
        <f t="shared" si="77"/>
        <v>9</v>
      </c>
      <c r="M268" s="24">
        <f t="shared" si="77"/>
        <v>5</v>
      </c>
      <c r="N268" s="24">
        <f t="shared" si="77"/>
        <v>0</v>
      </c>
      <c r="O268" s="24">
        <f t="shared" si="77"/>
        <v>36</v>
      </c>
      <c r="P268" s="24">
        <f>SUM(J268:O268)</f>
        <v>71</v>
      </c>
      <c r="Q268" s="24">
        <f>SUM(Q266:Q267)</f>
        <v>11</v>
      </c>
      <c r="R268" s="24">
        <f>SUM(R266:R267)</f>
        <v>0</v>
      </c>
      <c r="S268" s="24">
        <f>SUM(S266:S267)</f>
        <v>0</v>
      </c>
      <c r="T268" s="24">
        <f>SUM(T266:T267)</f>
        <v>0</v>
      </c>
      <c r="U268" s="24">
        <f>SUM(U266:U267)</f>
        <v>109</v>
      </c>
      <c r="V268" s="26">
        <f>IF(I268-Q268=0,"",IF(D268="",(P268+S268)/(I268-Q268),IF(AND(D268&lt;&gt;"",(P268+S268)/(I268-Q268)&gt;=50%),(P268+S268)/(I268-Q268),"")))</f>
        <v>1</v>
      </c>
      <c r="W268" s="26">
        <f>IF(I268=O268,"",IF(V268="",0,(P268+Q268+S268-O268)/(I268-O268)))</f>
        <v>1</v>
      </c>
      <c r="X268" s="30"/>
      <c r="Y268" s="30"/>
      <c r="Z268" s="30"/>
      <c r="AA268" s="30"/>
      <c r="AB268" s="34"/>
      <c r="AC268" s="30"/>
      <c r="AD268" s="30"/>
      <c r="AE268" s="30"/>
      <c r="AF268" s="30"/>
      <c r="AG268" s="30"/>
      <c r="AH268" s="30"/>
      <c r="AI268" s="30"/>
      <c r="AJ268" s="30"/>
      <c r="AK268" s="30"/>
      <c r="AL268" s="30"/>
      <c r="AM268" s="30"/>
      <c r="AN268" s="30"/>
      <c r="AO268" s="30"/>
    </row>
    <row r="269" spans="1:41" s="39" customFormat="1" ht="24.75" customHeight="1">
      <c r="A269" s="32"/>
      <c r="B269" s="130" t="s">
        <v>88</v>
      </c>
      <c r="C269" s="14" t="s">
        <v>2</v>
      </c>
      <c r="D269" s="29"/>
      <c r="E269" s="16" t="s">
        <v>27</v>
      </c>
      <c r="F269" s="15"/>
      <c r="G269" s="15"/>
      <c r="H269" s="15"/>
      <c r="I269" s="17"/>
      <c r="J269" s="15"/>
      <c r="K269" s="15"/>
      <c r="L269" s="15"/>
      <c r="M269" s="15"/>
      <c r="N269" s="15"/>
      <c r="O269" s="15"/>
      <c r="P269" s="15"/>
      <c r="Q269" s="15"/>
      <c r="R269" s="15"/>
      <c r="S269" s="15"/>
      <c r="T269" s="15"/>
      <c r="U269" s="15"/>
      <c r="V269" s="18"/>
      <c r="W269" s="18"/>
      <c r="X269" s="30"/>
      <c r="Y269" s="30"/>
      <c r="Z269" s="30"/>
      <c r="AA269" s="30"/>
      <c r="AB269" s="34"/>
      <c r="AC269" s="30"/>
      <c r="AD269" s="30"/>
      <c r="AE269" s="30"/>
      <c r="AF269" s="30"/>
      <c r="AG269" s="30"/>
      <c r="AH269" s="30"/>
      <c r="AI269" s="30"/>
      <c r="AJ269" s="30"/>
      <c r="AK269" s="30"/>
      <c r="AL269" s="30"/>
      <c r="AM269" s="30"/>
      <c r="AN269" s="30"/>
      <c r="AO269" s="30"/>
    </row>
    <row r="270" spans="1:41" s="39" customFormat="1" ht="19.5" customHeight="1">
      <c r="A270" s="32">
        <v>46</v>
      </c>
      <c r="B270" s="137"/>
      <c r="C270" s="20" t="str">
        <f>IF(A270="","VARA",VLOOKUP(A270,'[1]varas'!$A$4:$B$67,2))</f>
        <v>VT Belo Jardim</v>
      </c>
      <c r="D270" s="15"/>
      <c r="E270" s="16"/>
      <c r="F270" s="15">
        <f>29+33+5</f>
        <v>67</v>
      </c>
      <c r="G270" s="15">
        <v>0</v>
      </c>
      <c r="H270" s="15">
        <v>0</v>
      </c>
      <c r="I270" s="17">
        <f>SUM(F270:H270)</f>
        <v>67</v>
      </c>
      <c r="J270" s="15">
        <v>13</v>
      </c>
      <c r="K270" s="15">
        <v>16</v>
      </c>
      <c r="L270" s="15">
        <v>3</v>
      </c>
      <c r="M270" s="15">
        <v>2</v>
      </c>
      <c r="N270" s="15">
        <v>0</v>
      </c>
      <c r="O270" s="15">
        <v>33</v>
      </c>
      <c r="P270" s="15">
        <f>SUM(J270:O270)</f>
        <v>67</v>
      </c>
      <c r="Q270" s="15">
        <v>0</v>
      </c>
      <c r="R270" s="15">
        <v>0</v>
      </c>
      <c r="S270" s="15">
        <v>0</v>
      </c>
      <c r="T270" s="15">
        <v>0</v>
      </c>
      <c r="U270" s="15">
        <v>133</v>
      </c>
      <c r="V270" s="18"/>
      <c r="W270" s="18"/>
      <c r="X270" s="30"/>
      <c r="Y270" s="30"/>
      <c r="Z270" s="30"/>
      <c r="AA270" s="30"/>
      <c r="AB270" s="34"/>
      <c r="AC270" s="30"/>
      <c r="AD270" s="30"/>
      <c r="AE270" s="30"/>
      <c r="AF270" s="30"/>
      <c r="AG270" s="30"/>
      <c r="AH270" s="30"/>
      <c r="AI270" s="30"/>
      <c r="AJ270" s="30"/>
      <c r="AK270" s="30"/>
      <c r="AL270" s="30"/>
      <c r="AM270" s="30"/>
      <c r="AN270" s="30"/>
      <c r="AO270" s="30"/>
    </row>
    <row r="271" spans="1:41" s="53" customFormat="1" ht="20.25" customHeight="1">
      <c r="A271" s="47"/>
      <c r="B271" s="131"/>
      <c r="C271" s="21" t="s">
        <v>12</v>
      </c>
      <c r="D271" s="51"/>
      <c r="E271" s="52"/>
      <c r="F271" s="24">
        <f>SUM(F269:F270)</f>
        <v>67</v>
      </c>
      <c r="G271" s="24">
        <f>SUM(G269:G270)</f>
        <v>0</v>
      </c>
      <c r="H271" s="24">
        <f>SUM(H269:H270)</f>
        <v>0</v>
      </c>
      <c r="I271" s="25">
        <f>SUM(F271:H271)</f>
        <v>67</v>
      </c>
      <c r="J271" s="24">
        <f aca="true" t="shared" si="78" ref="J271:O271">SUM(J269:J270)</f>
        <v>13</v>
      </c>
      <c r="K271" s="24">
        <f t="shared" si="78"/>
        <v>16</v>
      </c>
      <c r="L271" s="24">
        <f t="shared" si="78"/>
        <v>3</v>
      </c>
      <c r="M271" s="24">
        <f t="shared" si="78"/>
        <v>2</v>
      </c>
      <c r="N271" s="24">
        <f t="shared" si="78"/>
        <v>0</v>
      </c>
      <c r="O271" s="24">
        <f t="shared" si="78"/>
        <v>33</v>
      </c>
      <c r="P271" s="24">
        <f>SUM(J271:O271)</f>
        <v>67</v>
      </c>
      <c r="Q271" s="24">
        <f>SUM(Q269:Q270)</f>
        <v>0</v>
      </c>
      <c r="R271" s="24">
        <f>SUM(R269:R270)</f>
        <v>0</v>
      </c>
      <c r="S271" s="24">
        <f>SUM(S269:S270)</f>
        <v>0</v>
      </c>
      <c r="T271" s="24">
        <f>SUM(T269:T270)</f>
        <v>0</v>
      </c>
      <c r="U271" s="24">
        <f>SUM(U269:U270)</f>
        <v>133</v>
      </c>
      <c r="V271" s="26">
        <f>IF(I271-Q271=0,"",IF(D271="",(P271+S271)/(I271-Q271),IF(AND(D271&lt;&gt;"",(P271+S271)/(I271-Q271)&gt;=50%),(P271+S271)/(I271-Q271),"")))</f>
        <v>1</v>
      </c>
      <c r="W271" s="26">
        <f>IF(I271=O271,"",IF(V271="",0,(P271+Q271+S271-O271)/(I271-O271)))</f>
        <v>1</v>
      </c>
      <c r="X271" s="49"/>
      <c r="Y271" s="49"/>
      <c r="Z271" s="49"/>
      <c r="AA271" s="49"/>
      <c r="AB271" s="50"/>
      <c r="AC271" s="49"/>
      <c r="AD271" s="49"/>
      <c r="AE271" s="49"/>
      <c r="AF271" s="49"/>
      <c r="AG271" s="49"/>
      <c r="AH271" s="49"/>
      <c r="AI271" s="49"/>
      <c r="AJ271" s="49"/>
      <c r="AK271" s="49"/>
      <c r="AL271" s="49"/>
      <c r="AM271" s="49"/>
      <c r="AN271" s="49"/>
      <c r="AO271" s="49"/>
    </row>
    <row r="272" spans="1:41" s="39" customFormat="1" ht="22.5" customHeight="1">
      <c r="A272" s="32"/>
      <c r="B272" s="138" t="s">
        <v>89</v>
      </c>
      <c r="C272" s="105" t="s">
        <v>2</v>
      </c>
      <c r="D272" s="29"/>
      <c r="E272" s="16" t="s">
        <v>27</v>
      </c>
      <c r="F272" s="15"/>
      <c r="G272" s="15"/>
      <c r="H272" s="15"/>
      <c r="I272" s="17"/>
      <c r="J272" s="15"/>
      <c r="K272" s="15"/>
      <c r="L272" s="15"/>
      <c r="M272" s="15"/>
      <c r="N272" s="15"/>
      <c r="O272" s="15"/>
      <c r="P272" s="15"/>
      <c r="Q272" s="15"/>
      <c r="R272" s="15"/>
      <c r="S272" s="15"/>
      <c r="T272" s="15"/>
      <c r="U272" s="15"/>
      <c r="V272" s="18"/>
      <c r="W272" s="18"/>
      <c r="X272" s="30"/>
      <c r="Y272" s="30"/>
      <c r="Z272" s="30"/>
      <c r="AA272" s="30"/>
      <c r="AB272" s="34"/>
      <c r="AC272" s="30"/>
      <c r="AD272" s="30"/>
      <c r="AE272" s="30"/>
      <c r="AF272" s="30"/>
      <c r="AG272" s="30"/>
      <c r="AH272" s="30"/>
      <c r="AI272" s="30"/>
      <c r="AJ272" s="30"/>
      <c r="AK272" s="30"/>
      <c r="AL272" s="30"/>
      <c r="AM272" s="30"/>
      <c r="AN272" s="30"/>
      <c r="AO272" s="30"/>
    </row>
    <row r="273" spans="1:41" s="39" customFormat="1" ht="22.5" customHeight="1">
      <c r="A273" s="32">
        <v>15</v>
      </c>
      <c r="B273" s="142"/>
      <c r="C273" s="106" t="str">
        <f>IF(A273="","VARA",VLOOKUP(A273,'[1]varas'!$A$4:$B$67,2))</f>
        <v>15ª VT Recife</v>
      </c>
      <c r="D273" s="15"/>
      <c r="E273" s="16"/>
      <c r="F273" s="15">
        <f>39+27+9+10</f>
        <v>85</v>
      </c>
      <c r="G273" s="15">
        <v>0</v>
      </c>
      <c r="H273" s="15">
        <v>0</v>
      </c>
      <c r="I273" s="17">
        <f>SUM(F273:H273)</f>
        <v>85</v>
      </c>
      <c r="J273" s="15">
        <v>21</v>
      </c>
      <c r="K273" s="15">
        <v>12</v>
      </c>
      <c r="L273" s="15">
        <v>9</v>
      </c>
      <c r="M273" s="15">
        <v>10</v>
      </c>
      <c r="N273" s="15">
        <v>0</v>
      </c>
      <c r="O273" s="15">
        <v>27</v>
      </c>
      <c r="P273" s="15">
        <f>SUM(J273:O273)</f>
        <v>79</v>
      </c>
      <c r="Q273" s="15">
        <v>6</v>
      </c>
      <c r="R273" s="15">
        <v>0</v>
      </c>
      <c r="S273" s="15">
        <v>0</v>
      </c>
      <c r="T273" s="15">
        <v>0</v>
      </c>
      <c r="U273" s="15">
        <v>128</v>
      </c>
      <c r="V273" s="18"/>
      <c r="W273" s="18"/>
      <c r="X273" s="30"/>
      <c r="Y273" s="30"/>
      <c r="Z273" s="30"/>
      <c r="AA273" s="30"/>
      <c r="AB273" s="34"/>
      <c r="AC273" s="30"/>
      <c r="AD273" s="30"/>
      <c r="AE273" s="30"/>
      <c r="AF273" s="30"/>
      <c r="AG273" s="30"/>
      <c r="AH273" s="30"/>
      <c r="AI273" s="30"/>
      <c r="AJ273" s="30"/>
      <c r="AK273" s="30"/>
      <c r="AL273" s="30"/>
      <c r="AM273" s="30"/>
      <c r="AN273" s="30"/>
      <c r="AO273" s="30"/>
    </row>
    <row r="274" spans="1:41" s="39" customFormat="1" ht="21.75" customHeight="1">
      <c r="A274" s="32">
        <v>23</v>
      </c>
      <c r="B274" s="139"/>
      <c r="C274" s="106" t="str">
        <f>IF(A274="","VARA",VLOOKUP(A274,'[1]varas'!$A$4:$B$67,2))</f>
        <v>23ª VT Recife</v>
      </c>
      <c r="D274" s="15"/>
      <c r="E274" s="16"/>
      <c r="F274" s="15">
        <v>7</v>
      </c>
      <c r="G274" s="15">
        <v>0</v>
      </c>
      <c r="H274" s="15">
        <v>0</v>
      </c>
      <c r="I274" s="17">
        <f>SUM(F274:H274)</f>
        <v>7</v>
      </c>
      <c r="J274" s="15">
        <v>2</v>
      </c>
      <c r="K274" s="15">
        <v>1</v>
      </c>
      <c r="L274" s="15">
        <v>0</v>
      </c>
      <c r="M274" s="15">
        <v>0</v>
      </c>
      <c r="N274" s="15">
        <v>0</v>
      </c>
      <c r="O274" s="15">
        <v>4</v>
      </c>
      <c r="P274" s="15">
        <f>SUM(J274:O274)</f>
        <v>7</v>
      </c>
      <c r="Q274" s="15">
        <v>0</v>
      </c>
      <c r="R274" s="15">
        <v>0</v>
      </c>
      <c r="S274" s="15">
        <v>0</v>
      </c>
      <c r="T274" s="15">
        <v>0</v>
      </c>
      <c r="U274" s="15">
        <v>15</v>
      </c>
      <c r="V274" s="18"/>
      <c r="W274" s="18"/>
      <c r="X274" s="30"/>
      <c r="Y274" s="30"/>
      <c r="Z274" s="30"/>
      <c r="AA274" s="30"/>
      <c r="AB274" s="34"/>
      <c r="AC274" s="30"/>
      <c r="AD274" s="30"/>
      <c r="AE274" s="30"/>
      <c r="AF274" s="30"/>
      <c r="AG274" s="30"/>
      <c r="AH274" s="30"/>
      <c r="AI274" s="30"/>
      <c r="AJ274" s="30"/>
      <c r="AK274" s="30"/>
      <c r="AL274" s="30"/>
      <c r="AM274" s="30"/>
      <c r="AN274" s="30"/>
      <c r="AO274" s="30"/>
    </row>
    <row r="275" spans="1:41" s="39" customFormat="1" ht="18.75" customHeight="1">
      <c r="A275" s="32"/>
      <c r="B275" s="134"/>
      <c r="C275" s="107" t="s">
        <v>12</v>
      </c>
      <c r="D275" s="33"/>
      <c r="E275" s="23"/>
      <c r="F275" s="24">
        <f>SUM(F272:F274)</f>
        <v>92</v>
      </c>
      <c r="G275" s="24">
        <f>SUM(G272:G274)</f>
        <v>0</v>
      </c>
      <c r="H275" s="24">
        <f>SUM(H272:H274)</f>
        <v>0</v>
      </c>
      <c r="I275" s="40">
        <f>SUM(F275:H275)</f>
        <v>92</v>
      </c>
      <c r="J275" s="24">
        <f aca="true" t="shared" si="79" ref="J275:O275">SUM(J272:J274)</f>
        <v>23</v>
      </c>
      <c r="K275" s="24">
        <f t="shared" si="79"/>
        <v>13</v>
      </c>
      <c r="L275" s="24">
        <f t="shared" si="79"/>
        <v>9</v>
      </c>
      <c r="M275" s="24">
        <f t="shared" si="79"/>
        <v>10</v>
      </c>
      <c r="N275" s="24">
        <f t="shared" si="79"/>
        <v>0</v>
      </c>
      <c r="O275" s="24">
        <f t="shared" si="79"/>
        <v>31</v>
      </c>
      <c r="P275" s="24">
        <f>SUM(J275:O275)</f>
        <v>86</v>
      </c>
      <c r="Q275" s="24">
        <f>SUM(Q272:Q274)</f>
        <v>6</v>
      </c>
      <c r="R275" s="24">
        <f>SUM(R272:R274)</f>
        <v>0</v>
      </c>
      <c r="S275" s="24">
        <f>SUM(S272:S274)</f>
        <v>0</v>
      </c>
      <c r="T275" s="24">
        <f>SUM(T272:T274)</f>
        <v>0</v>
      </c>
      <c r="U275" s="24">
        <f>SUM(U272:U274)</f>
        <v>143</v>
      </c>
      <c r="V275" s="26">
        <f>IF(I275-Q275=0,"",IF(D275="",(P275+S275)/(I275-Q275),IF(AND(D275&lt;&gt;"",(P275+S275)/(I275-Q275)&gt;=50%),(P275+S275)/(I275-Q275),"")))</f>
        <v>1</v>
      </c>
      <c r="W275" s="26">
        <f>IF(I275=O275,"",IF(V275="",0,(P275+Q275+S275-O275)/(I275-O275)))</f>
        <v>1</v>
      </c>
      <c r="X275" s="30"/>
      <c r="Y275" s="30"/>
      <c r="Z275" s="30"/>
      <c r="AA275" s="30"/>
      <c r="AB275" s="34"/>
      <c r="AC275" s="30"/>
      <c r="AD275" s="30"/>
      <c r="AE275" s="30"/>
      <c r="AF275" s="30"/>
      <c r="AG275" s="30"/>
      <c r="AH275" s="30"/>
      <c r="AI275" s="30"/>
      <c r="AJ275" s="30"/>
      <c r="AK275" s="30"/>
      <c r="AL275" s="30"/>
      <c r="AM275" s="30"/>
      <c r="AN275" s="30"/>
      <c r="AO275" s="30"/>
    </row>
    <row r="276" spans="1:41" s="39" customFormat="1" ht="24" customHeight="1">
      <c r="A276" s="32"/>
      <c r="B276" s="138" t="s">
        <v>90</v>
      </c>
      <c r="C276" s="105" t="s">
        <v>2</v>
      </c>
      <c r="D276" s="15"/>
      <c r="E276" s="16" t="s">
        <v>27</v>
      </c>
      <c r="F276" s="15"/>
      <c r="G276" s="15"/>
      <c r="H276" s="15"/>
      <c r="I276" s="17"/>
      <c r="J276" s="15"/>
      <c r="K276" s="15"/>
      <c r="L276" s="15"/>
      <c r="M276" s="15"/>
      <c r="N276" s="15"/>
      <c r="O276" s="15"/>
      <c r="P276" s="15"/>
      <c r="Q276" s="15"/>
      <c r="R276" s="15"/>
      <c r="S276" s="15"/>
      <c r="T276" s="15"/>
      <c r="U276" s="15"/>
      <c r="V276" s="18"/>
      <c r="W276" s="18"/>
      <c r="X276" s="30"/>
      <c r="Y276" s="30"/>
      <c r="Z276" s="30"/>
      <c r="AA276" s="30"/>
      <c r="AB276" s="34"/>
      <c r="AC276" s="30"/>
      <c r="AD276" s="30"/>
      <c r="AE276" s="30"/>
      <c r="AF276" s="30"/>
      <c r="AG276" s="30"/>
      <c r="AH276" s="30"/>
      <c r="AI276" s="30"/>
      <c r="AJ276" s="30"/>
      <c r="AK276" s="30"/>
      <c r="AL276" s="30"/>
      <c r="AM276" s="30"/>
      <c r="AN276" s="30"/>
      <c r="AO276" s="30"/>
    </row>
    <row r="277" spans="1:41" s="39" customFormat="1" ht="19.5" customHeight="1">
      <c r="A277" s="32">
        <v>41</v>
      </c>
      <c r="B277" s="139"/>
      <c r="C277" s="106" t="str">
        <f>IF(A277="","VARA",VLOOKUP(A277,'[1]varas'!$A$4:$B$67,2))</f>
        <v>1ª VT Paulista</v>
      </c>
      <c r="D277" s="15"/>
      <c r="E277" s="16"/>
      <c r="F277" s="15">
        <f>19+22+7</f>
        <v>48</v>
      </c>
      <c r="G277" s="15">
        <v>16</v>
      </c>
      <c r="H277" s="15">
        <v>9</v>
      </c>
      <c r="I277" s="17">
        <f>SUM(F277:H277)</f>
        <v>73</v>
      </c>
      <c r="J277" s="15">
        <v>14</v>
      </c>
      <c r="K277" s="15">
        <v>1</v>
      </c>
      <c r="L277" s="15">
        <v>6</v>
      </c>
      <c r="M277" s="15">
        <v>1</v>
      </c>
      <c r="N277" s="15">
        <v>0</v>
      </c>
      <c r="O277" s="15">
        <v>22</v>
      </c>
      <c r="P277" s="15">
        <f>SUM(J277:O277)</f>
        <v>44</v>
      </c>
      <c r="Q277" s="15">
        <v>8</v>
      </c>
      <c r="R277" s="15">
        <v>21</v>
      </c>
      <c r="S277" s="15">
        <v>0</v>
      </c>
      <c r="T277" s="15">
        <v>0</v>
      </c>
      <c r="U277" s="15">
        <v>91</v>
      </c>
      <c r="V277" s="18"/>
      <c r="W277" s="18"/>
      <c r="X277" s="30"/>
      <c r="Y277" s="30"/>
      <c r="Z277" s="30"/>
      <c r="AA277" s="30"/>
      <c r="AB277" s="34"/>
      <c r="AC277" s="30"/>
      <c r="AD277" s="30"/>
      <c r="AE277" s="30"/>
      <c r="AF277" s="30"/>
      <c r="AG277" s="30"/>
      <c r="AH277" s="30"/>
      <c r="AI277" s="30"/>
      <c r="AJ277" s="30"/>
      <c r="AK277" s="30"/>
      <c r="AL277" s="30"/>
      <c r="AM277" s="30"/>
      <c r="AN277" s="30"/>
      <c r="AO277" s="30"/>
    </row>
    <row r="278" spans="1:41" s="53" customFormat="1" ht="20.25" customHeight="1">
      <c r="A278" s="47"/>
      <c r="B278" s="134"/>
      <c r="C278" s="107" t="s">
        <v>12</v>
      </c>
      <c r="D278" s="51"/>
      <c r="E278" s="52"/>
      <c r="F278" s="24">
        <f>SUM(F276:F277)</f>
        <v>48</v>
      </c>
      <c r="G278" s="24">
        <f>SUM(G276:G277)</f>
        <v>16</v>
      </c>
      <c r="H278" s="24">
        <f>SUM(H276:H277)</f>
        <v>9</v>
      </c>
      <c r="I278" s="25">
        <f>SUM(F278:H278)</f>
        <v>73</v>
      </c>
      <c r="J278" s="24">
        <f aca="true" t="shared" si="80" ref="J278:O278">SUM(J276:J277)</f>
        <v>14</v>
      </c>
      <c r="K278" s="24">
        <f t="shared" si="80"/>
        <v>1</v>
      </c>
      <c r="L278" s="24">
        <f t="shared" si="80"/>
        <v>6</v>
      </c>
      <c r="M278" s="24">
        <f t="shared" si="80"/>
        <v>1</v>
      </c>
      <c r="N278" s="24">
        <f t="shared" si="80"/>
        <v>0</v>
      </c>
      <c r="O278" s="24">
        <f t="shared" si="80"/>
        <v>22</v>
      </c>
      <c r="P278" s="24">
        <f>SUM(J278:O278)</f>
        <v>44</v>
      </c>
      <c r="Q278" s="24">
        <f>SUM(Q276:Q277)</f>
        <v>8</v>
      </c>
      <c r="R278" s="24">
        <f>SUM(R276:R277)</f>
        <v>21</v>
      </c>
      <c r="S278" s="24">
        <f>SUM(S276:S277)</f>
        <v>0</v>
      </c>
      <c r="T278" s="24">
        <f>SUM(T276:T277)</f>
        <v>0</v>
      </c>
      <c r="U278" s="24">
        <f>SUM(U276:U277)</f>
        <v>91</v>
      </c>
      <c r="V278" s="26">
        <f>IF(I278-Q278=0,"",IF(D278="",(P278+S278)/(I278-Q278),IF(AND(D278&lt;&gt;"",(P278+S278)/(I278-Q278)&gt;=50%),(P278+S278)/(I278-Q278),"")))</f>
        <v>0.676923076923077</v>
      </c>
      <c r="W278" s="26">
        <f>IF(I278=O278,"",IF(V278="",0,(P278+Q278+S278-O278)/(I278-O278)))</f>
        <v>0.5882352941176471</v>
      </c>
      <c r="X278" s="49"/>
      <c r="Y278" s="49"/>
      <c r="Z278" s="49"/>
      <c r="AA278" s="49"/>
      <c r="AB278" s="50"/>
      <c r="AC278" s="49"/>
      <c r="AD278" s="49"/>
      <c r="AE278" s="49"/>
      <c r="AF278" s="49"/>
      <c r="AG278" s="49"/>
      <c r="AH278" s="49"/>
      <c r="AI278" s="49"/>
      <c r="AJ278" s="49"/>
      <c r="AK278" s="49"/>
      <c r="AL278" s="49"/>
      <c r="AM278" s="49"/>
      <c r="AN278" s="49"/>
      <c r="AO278" s="49"/>
    </row>
    <row r="279" spans="1:41" s="39" customFormat="1" ht="23.25" customHeight="1">
      <c r="A279" s="32"/>
      <c r="B279" s="130" t="s">
        <v>91</v>
      </c>
      <c r="C279" s="14" t="s">
        <v>2</v>
      </c>
      <c r="D279" s="29" t="s">
        <v>30</v>
      </c>
      <c r="E279" s="16" t="s">
        <v>208</v>
      </c>
      <c r="F279" s="15"/>
      <c r="G279" s="15"/>
      <c r="H279" s="15"/>
      <c r="I279" s="17"/>
      <c r="J279" s="15"/>
      <c r="K279" s="15"/>
      <c r="L279" s="15"/>
      <c r="M279" s="15"/>
      <c r="N279" s="15"/>
      <c r="O279" s="15"/>
      <c r="P279" s="15"/>
      <c r="Q279" s="15"/>
      <c r="R279" s="15"/>
      <c r="S279" s="15"/>
      <c r="T279" s="15"/>
      <c r="U279" s="15"/>
      <c r="V279" s="18"/>
      <c r="W279" s="18"/>
      <c r="X279" s="30"/>
      <c r="Y279" s="30"/>
      <c r="Z279" s="30"/>
      <c r="AA279" s="30"/>
      <c r="AB279" s="34"/>
      <c r="AC279" s="30"/>
      <c r="AD279" s="30"/>
      <c r="AE279" s="30"/>
      <c r="AF279" s="30"/>
      <c r="AG279" s="30"/>
      <c r="AH279" s="30"/>
      <c r="AI279" s="30"/>
      <c r="AJ279" s="30"/>
      <c r="AK279" s="30"/>
      <c r="AL279" s="30"/>
      <c r="AM279" s="30"/>
      <c r="AN279" s="30"/>
      <c r="AO279" s="30"/>
    </row>
    <row r="280" spans="1:41" s="39" customFormat="1" ht="21" customHeight="1">
      <c r="A280" s="32">
        <v>42</v>
      </c>
      <c r="B280" s="137"/>
      <c r="C280" s="20" t="str">
        <f>IF(A280="","VARA",VLOOKUP(A280,'[1]varas'!$A$4:$B$67,2))</f>
        <v>2ª VT Paulista</v>
      </c>
      <c r="D280" s="15"/>
      <c r="E280" s="16"/>
      <c r="F280" s="15">
        <f>13+27+12</f>
        <v>52</v>
      </c>
      <c r="G280" s="15">
        <v>1</v>
      </c>
      <c r="H280" s="15">
        <v>0</v>
      </c>
      <c r="I280" s="17">
        <f>SUM(F280:H280)</f>
        <v>53</v>
      </c>
      <c r="J280" s="15">
        <v>5</v>
      </c>
      <c r="K280" s="15">
        <v>6</v>
      </c>
      <c r="L280" s="15">
        <v>11</v>
      </c>
      <c r="M280" s="15">
        <v>1</v>
      </c>
      <c r="N280" s="15">
        <v>0</v>
      </c>
      <c r="O280" s="15">
        <v>27</v>
      </c>
      <c r="P280" s="15">
        <f>SUM(J280:O280)</f>
        <v>50</v>
      </c>
      <c r="Q280" s="15">
        <v>3</v>
      </c>
      <c r="R280" s="15">
        <v>0</v>
      </c>
      <c r="S280" s="15">
        <v>0</v>
      </c>
      <c r="T280" s="15">
        <v>0</v>
      </c>
      <c r="U280" s="15">
        <v>75</v>
      </c>
      <c r="V280" s="18"/>
      <c r="W280" s="18"/>
      <c r="X280" s="30"/>
      <c r="Y280" s="30"/>
      <c r="Z280" s="30"/>
      <c r="AA280" s="30"/>
      <c r="AB280" s="34"/>
      <c r="AC280" s="30"/>
      <c r="AD280" s="30"/>
      <c r="AE280" s="30"/>
      <c r="AF280" s="30"/>
      <c r="AG280" s="30"/>
      <c r="AH280" s="30"/>
      <c r="AI280" s="30"/>
      <c r="AJ280" s="30"/>
      <c r="AK280" s="30"/>
      <c r="AL280" s="30"/>
      <c r="AM280" s="30"/>
      <c r="AN280" s="30"/>
      <c r="AO280" s="30"/>
    </row>
    <row r="281" spans="1:41" s="53" customFormat="1" ht="18.75" customHeight="1">
      <c r="A281" s="47"/>
      <c r="B281" s="131"/>
      <c r="C281" s="21" t="s">
        <v>12</v>
      </c>
      <c r="D281" s="51"/>
      <c r="E281" s="52"/>
      <c r="F281" s="24">
        <f>SUM(F279:F280)</f>
        <v>52</v>
      </c>
      <c r="G281" s="24">
        <f>SUM(G279:G280)</f>
        <v>1</v>
      </c>
      <c r="H281" s="24">
        <f>SUM(H279:H280)</f>
        <v>0</v>
      </c>
      <c r="I281" s="25">
        <f>SUM(F281:H281)</f>
        <v>53</v>
      </c>
      <c r="J281" s="24">
        <f aca="true" t="shared" si="81" ref="J281:O281">SUM(J279:J280)</f>
        <v>5</v>
      </c>
      <c r="K281" s="24">
        <f t="shared" si="81"/>
        <v>6</v>
      </c>
      <c r="L281" s="24">
        <f t="shared" si="81"/>
        <v>11</v>
      </c>
      <c r="M281" s="24">
        <f t="shared" si="81"/>
        <v>1</v>
      </c>
      <c r="N281" s="24">
        <f t="shared" si="81"/>
        <v>0</v>
      </c>
      <c r="O281" s="24">
        <f t="shared" si="81"/>
        <v>27</v>
      </c>
      <c r="P281" s="24">
        <f>SUM(J281:O281)</f>
        <v>50</v>
      </c>
      <c r="Q281" s="24">
        <f>SUM(Q279:Q280)</f>
        <v>3</v>
      </c>
      <c r="R281" s="24">
        <f>SUM(R279:R280)</f>
        <v>0</v>
      </c>
      <c r="S281" s="24">
        <f>SUM(S279:S280)</f>
        <v>0</v>
      </c>
      <c r="T281" s="24">
        <f>SUM(T279:T280)</f>
        <v>0</v>
      </c>
      <c r="U281" s="24">
        <f>SUM(U279:U280)</f>
        <v>75</v>
      </c>
      <c r="V281" s="26">
        <f>IF(I281-Q281=0,"",IF(D281="",(P281+S281)/(I281-Q281),IF(AND(D281&lt;&gt;"",(P281+S281)/(I281-Q281)&gt;=50%),(P281+S281)/(I281-Q281),"")))</f>
        <v>1</v>
      </c>
      <c r="W281" s="26">
        <f>IF(I281=O281,"",IF(V281="",0,(P281+Q281+S281-O281)/(I281-O281)))</f>
        <v>1</v>
      </c>
      <c r="X281" s="49"/>
      <c r="Y281" s="49"/>
      <c r="Z281" s="49"/>
      <c r="AA281" s="49"/>
      <c r="AB281" s="50"/>
      <c r="AC281" s="49"/>
      <c r="AD281" s="49"/>
      <c r="AE281" s="49"/>
      <c r="AF281" s="49"/>
      <c r="AG281" s="49"/>
      <c r="AH281" s="49"/>
      <c r="AI281" s="49"/>
      <c r="AJ281" s="49"/>
      <c r="AK281" s="49"/>
      <c r="AL281" s="49"/>
      <c r="AM281" s="49"/>
      <c r="AN281" s="49"/>
      <c r="AO281" s="49"/>
    </row>
    <row r="282" spans="1:41" s="39" customFormat="1" ht="28.5" customHeight="1">
      <c r="A282" s="32"/>
      <c r="B282" s="132" t="s">
        <v>92</v>
      </c>
      <c r="C282" s="105" t="s">
        <v>2</v>
      </c>
      <c r="D282" s="29" t="s">
        <v>30</v>
      </c>
      <c r="E282" s="16" t="s">
        <v>225</v>
      </c>
      <c r="F282" s="15"/>
      <c r="G282" s="15"/>
      <c r="H282" s="15"/>
      <c r="I282" s="17"/>
      <c r="J282" s="15"/>
      <c r="K282" s="15"/>
      <c r="L282" s="15"/>
      <c r="M282" s="15"/>
      <c r="N282" s="15"/>
      <c r="O282" s="15"/>
      <c r="P282" s="15"/>
      <c r="Q282" s="15"/>
      <c r="R282" s="15"/>
      <c r="S282" s="15"/>
      <c r="T282" s="15"/>
      <c r="U282" s="15"/>
      <c r="V282" s="18"/>
      <c r="W282" s="18"/>
      <c r="X282" s="30"/>
      <c r="Y282" s="30"/>
      <c r="Z282" s="30"/>
      <c r="AA282" s="30"/>
      <c r="AB282" s="34"/>
      <c r="AC282" s="30"/>
      <c r="AD282" s="30"/>
      <c r="AE282" s="30"/>
      <c r="AF282" s="30"/>
      <c r="AG282" s="30"/>
      <c r="AH282" s="30"/>
      <c r="AI282" s="30"/>
      <c r="AJ282" s="30"/>
      <c r="AK282" s="30"/>
      <c r="AL282" s="30"/>
      <c r="AM282" s="30"/>
      <c r="AN282" s="30"/>
      <c r="AO282" s="30"/>
    </row>
    <row r="283" spans="1:41" s="39" customFormat="1" ht="24" customHeight="1">
      <c r="A283" s="32">
        <v>47</v>
      </c>
      <c r="B283" s="133"/>
      <c r="C283" s="106" t="str">
        <f>IF(A283="","VARA",VLOOKUP(A283,'[1]varas'!$A$4:$B$67,2))</f>
        <v>VT Carpina</v>
      </c>
      <c r="D283" s="15"/>
      <c r="E283" s="16"/>
      <c r="F283" s="15">
        <f>49+68+5</f>
        <v>122</v>
      </c>
      <c r="G283" s="15">
        <v>1</v>
      </c>
      <c r="H283" s="15">
        <v>0</v>
      </c>
      <c r="I283" s="17">
        <f>SUM(F283:H283)</f>
        <v>123</v>
      </c>
      <c r="J283" s="15">
        <v>25</v>
      </c>
      <c r="K283" s="15">
        <v>24</v>
      </c>
      <c r="L283" s="15">
        <v>5</v>
      </c>
      <c r="M283" s="15">
        <v>0</v>
      </c>
      <c r="N283" s="15">
        <v>0</v>
      </c>
      <c r="O283" s="15">
        <v>68</v>
      </c>
      <c r="P283" s="15">
        <f>SUM(J283:O283)</f>
        <v>122</v>
      </c>
      <c r="Q283" s="15">
        <v>1</v>
      </c>
      <c r="R283" s="15">
        <v>0</v>
      </c>
      <c r="S283" s="15">
        <v>0</v>
      </c>
      <c r="T283" s="15">
        <v>0</v>
      </c>
      <c r="U283" s="15">
        <v>292</v>
      </c>
      <c r="V283" s="18"/>
      <c r="W283" s="18"/>
      <c r="X283" s="30"/>
      <c r="Y283" s="30"/>
      <c r="Z283" s="30"/>
      <c r="AA283" s="30"/>
      <c r="AB283" s="34"/>
      <c r="AC283" s="30"/>
      <c r="AD283" s="30"/>
      <c r="AE283" s="30"/>
      <c r="AF283" s="30"/>
      <c r="AG283" s="30"/>
      <c r="AH283" s="30"/>
      <c r="AI283" s="30"/>
      <c r="AJ283" s="30"/>
      <c r="AK283" s="30"/>
      <c r="AL283" s="30"/>
      <c r="AM283" s="30"/>
      <c r="AN283" s="30"/>
      <c r="AO283" s="30"/>
    </row>
    <row r="284" spans="1:41" s="53" customFormat="1" ht="18.75" customHeight="1">
      <c r="A284" s="47"/>
      <c r="B284" s="134"/>
      <c r="C284" s="107" t="s">
        <v>12</v>
      </c>
      <c r="D284" s="51"/>
      <c r="E284" s="52"/>
      <c r="F284" s="24">
        <f>SUM(F282:F283)</f>
        <v>122</v>
      </c>
      <c r="G284" s="24">
        <f>SUM(G282:G283)</f>
        <v>1</v>
      </c>
      <c r="H284" s="24">
        <f>SUM(H282:H283)</f>
        <v>0</v>
      </c>
      <c r="I284" s="25">
        <f>SUM(F284:H284)</f>
        <v>123</v>
      </c>
      <c r="J284" s="24">
        <f aca="true" t="shared" si="82" ref="J284:O284">SUM(J282:J283)</f>
        <v>25</v>
      </c>
      <c r="K284" s="24">
        <f t="shared" si="82"/>
        <v>24</v>
      </c>
      <c r="L284" s="24">
        <f t="shared" si="82"/>
        <v>5</v>
      </c>
      <c r="M284" s="24">
        <f t="shared" si="82"/>
        <v>0</v>
      </c>
      <c r="N284" s="24">
        <f t="shared" si="82"/>
        <v>0</v>
      </c>
      <c r="O284" s="24">
        <f t="shared" si="82"/>
        <v>68</v>
      </c>
      <c r="P284" s="24">
        <f>SUM(J284:O284)</f>
        <v>122</v>
      </c>
      <c r="Q284" s="24">
        <f>SUM(Q282:Q283)</f>
        <v>1</v>
      </c>
      <c r="R284" s="24">
        <f>SUM(R282:R283)</f>
        <v>0</v>
      </c>
      <c r="S284" s="24">
        <f>SUM(S282:S283)</f>
        <v>0</v>
      </c>
      <c r="T284" s="24">
        <f>SUM(T282:T283)</f>
        <v>0</v>
      </c>
      <c r="U284" s="24">
        <f>SUM(U282:U283)</f>
        <v>292</v>
      </c>
      <c r="V284" s="26">
        <f>IF(I284-Q284=0,"",IF(D284="",(P284+S284)/(I284-Q284),IF(AND(D284&lt;&gt;"",(P284+S284)/(I284-Q284)&gt;=50%),(P284+S284)/(I284-Q284),"")))</f>
        <v>1</v>
      </c>
      <c r="W284" s="26">
        <f>IF(I284=O284,"",IF(V284="",0,(P284+Q284+S284-O284)/(I284-O284)))</f>
        <v>1</v>
      </c>
      <c r="X284" s="49"/>
      <c r="Y284" s="49"/>
      <c r="Z284" s="49"/>
      <c r="AA284" s="49"/>
      <c r="AB284" s="50"/>
      <c r="AC284" s="49"/>
      <c r="AD284" s="49"/>
      <c r="AE284" s="49"/>
      <c r="AF284" s="49"/>
      <c r="AG284" s="49"/>
      <c r="AH284" s="49"/>
      <c r="AI284" s="49"/>
      <c r="AJ284" s="49"/>
      <c r="AK284" s="49"/>
      <c r="AL284" s="49"/>
      <c r="AM284" s="49"/>
      <c r="AN284" s="49"/>
      <c r="AO284" s="49"/>
    </row>
    <row r="285" spans="1:41" s="39" customFormat="1" ht="24.75" customHeight="1">
      <c r="A285" s="32"/>
      <c r="B285" s="130" t="s">
        <v>93</v>
      </c>
      <c r="C285" s="14" t="s">
        <v>2</v>
      </c>
      <c r="D285" s="29"/>
      <c r="E285" s="16" t="s">
        <v>27</v>
      </c>
      <c r="F285" s="15"/>
      <c r="G285" s="15"/>
      <c r="H285" s="15"/>
      <c r="I285" s="17"/>
      <c r="J285" s="15"/>
      <c r="K285" s="15"/>
      <c r="L285" s="15"/>
      <c r="M285" s="15"/>
      <c r="N285" s="15"/>
      <c r="O285" s="15"/>
      <c r="P285" s="15"/>
      <c r="Q285" s="15"/>
      <c r="R285" s="15"/>
      <c r="S285" s="15"/>
      <c r="T285" s="15"/>
      <c r="U285" s="15"/>
      <c r="V285" s="18"/>
      <c r="W285" s="18"/>
      <c r="X285" s="30"/>
      <c r="Y285" s="30"/>
      <c r="Z285" s="30"/>
      <c r="AA285" s="30"/>
      <c r="AB285" s="34"/>
      <c r="AC285" s="30"/>
      <c r="AD285" s="30"/>
      <c r="AE285" s="30"/>
      <c r="AF285" s="30"/>
      <c r="AG285" s="30"/>
      <c r="AH285" s="30"/>
      <c r="AI285" s="30"/>
      <c r="AJ285" s="30"/>
      <c r="AK285" s="30"/>
      <c r="AL285" s="30"/>
      <c r="AM285" s="30"/>
      <c r="AN285" s="30"/>
      <c r="AO285" s="30"/>
    </row>
    <row r="286" spans="1:41" s="39" customFormat="1" ht="20.25" customHeight="1">
      <c r="A286" s="32">
        <v>34</v>
      </c>
      <c r="B286" s="137"/>
      <c r="C286" s="20" t="str">
        <f>IF(A286="","VARA",VLOOKUP(A286,'[1]varas'!$A$4:$B$67,2))</f>
        <v>1ª VT Jaboatão</v>
      </c>
      <c r="D286" s="15"/>
      <c r="E286" s="16"/>
      <c r="F286" s="15">
        <f>30+36+9</f>
        <v>75</v>
      </c>
      <c r="G286" s="15">
        <v>11</v>
      </c>
      <c r="H286" s="15">
        <v>3</v>
      </c>
      <c r="I286" s="17">
        <f>SUM(F286:H286)</f>
        <v>89</v>
      </c>
      <c r="J286" s="15">
        <v>23</v>
      </c>
      <c r="K286" s="15">
        <v>11</v>
      </c>
      <c r="L286" s="15">
        <v>4</v>
      </c>
      <c r="M286" s="15">
        <v>5</v>
      </c>
      <c r="N286" s="15">
        <v>0</v>
      </c>
      <c r="O286" s="15">
        <v>36</v>
      </c>
      <c r="P286" s="15">
        <f>SUM(J286:O286)</f>
        <v>79</v>
      </c>
      <c r="Q286" s="15">
        <v>9</v>
      </c>
      <c r="R286" s="15">
        <v>1</v>
      </c>
      <c r="S286" s="15">
        <v>0</v>
      </c>
      <c r="T286" s="15">
        <v>0</v>
      </c>
      <c r="U286" s="15">
        <v>110</v>
      </c>
      <c r="V286" s="18"/>
      <c r="W286" s="18"/>
      <c r="X286" s="30"/>
      <c r="Y286" s="30"/>
      <c r="Z286" s="30"/>
      <c r="AA286" s="30"/>
      <c r="AB286" s="34"/>
      <c r="AC286" s="30"/>
      <c r="AD286" s="30"/>
      <c r="AE286" s="30"/>
      <c r="AF286" s="30"/>
      <c r="AG286" s="30"/>
      <c r="AH286" s="30"/>
      <c r="AI286" s="30"/>
      <c r="AJ286" s="30"/>
      <c r="AK286" s="30"/>
      <c r="AL286" s="30"/>
      <c r="AM286" s="30"/>
      <c r="AN286" s="30"/>
      <c r="AO286" s="30"/>
    </row>
    <row r="287" spans="1:41" s="53" customFormat="1" ht="21" customHeight="1">
      <c r="A287" s="47"/>
      <c r="B287" s="131"/>
      <c r="C287" s="21" t="s">
        <v>12</v>
      </c>
      <c r="D287" s="51"/>
      <c r="E287" s="52"/>
      <c r="F287" s="24">
        <f>SUM(F285:F286)</f>
        <v>75</v>
      </c>
      <c r="G287" s="24">
        <f>SUM(G285:G286)</f>
        <v>11</v>
      </c>
      <c r="H287" s="24">
        <f>SUM(H285:H286)</f>
        <v>3</v>
      </c>
      <c r="I287" s="25">
        <f>SUM(F287:H287)</f>
        <v>89</v>
      </c>
      <c r="J287" s="24">
        <f aca="true" t="shared" si="83" ref="J287:O287">SUM(J285:J286)</f>
        <v>23</v>
      </c>
      <c r="K287" s="24">
        <f t="shared" si="83"/>
        <v>11</v>
      </c>
      <c r="L287" s="24">
        <f t="shared" si="83"/>
        <v>4</v>
      </c>
      <c r="M287" s="24">
        <f t="shared" si="83"/>
        <v>5</v>
      </c>
      <c r="N287" s="24">
        <f t="shared" si="83"/>
        <v>0</v>
      </c>
      <c r="O287" s="24">
        <f t="shared" si="83"/>
        <v>36</v>
      </c>
      <c r="P287" s="24">
        <f>SUM(J287:O287)</f>
        <v>79</v>
      </c>
      <c r="Q287" s="24">
        <f>SUM(Q285:Q286)</f>
        <v>9</v>
      </c>
      <c r="R287" s="24">
        <f>SUM(R285:R286)</f>
        <v>1</v>
      </c>
      <c r="S287" s="24">
        <f>SUM(S285:S286)</f>
        <v>0</v>
      </c>
      <c r="T287" s="24">
        <f>SUM(T285:T286)</f>
        <v>0</v>
      </c>
      <c r="U287" s="24">
        <f>SUM(U285:U286)</f>
        <v>110</v>
      </c>
      <c r="V287" s="26">
        <f>IF(I287-Q287=0,"",IF(D287="",(P287+S287)/(I287-Q287),IF(AND(D287&lt;&gt;"",(P287+S287)/(I287-Q287)&gt;=50%),(P287+S287)/(I287-Q287),"")))</f>
        <v>0.9875</v>
      </c>
      <c r="W287" s="26">
        <f>IF(I287=O287,"",IF(V287="",0,(P287+Q287+S287-O287)/(I287-O287)))</f>
        <v>0.9811320754716981</v>
      </c>
      <c r="X287" s="49"/>
      <c r="Y287" s="49"/>
      <c r="Z287" s="49"/>
      <c r="AA287" s="49"/>
      <c r="AB287" s="50"/>
      <c r="AC287" s="49"/>
      <c r="AD287" s="49"/>
      <c r="AE287" s="49"/>
      <c r="AF287" s="49"/>
      <c r="AG287" s="49"/>
      <c r="AH287" s="49"/>
      <c r="AI287" s="49"/>
      <c r="AJ287" s="49"/>
      <c r="AK287" s="49"/>
      <c r="AL287" s="49"/>
      <c r="AM287" s="49"/>
      <c r="AN287" s="49"/>
      <c r="AO287" s="49"/>
    </row>
    <row r="288" spans="1:41" s="39" customFormat="1" ht="22.5" customHeight="1">
      <c r="A288" s="32"/>
      <c r="B288" s="138" t="s">
        <v>94</v>
      </c>
      <c r="C288" s="105" t="s">
        <v>156</v>
      </c>
      <c r="D288" s="29" t="s">
        <v>226</v>
      </c>
      <c r="E288" s="16" t="s">
        <v>227</v>
      </c>
      <c r="F288" s="15"/>
      <c r="G288" s="15"/>
      <c r="H288" s="15"/>
      <c r="I288" s="17"/>
      <c r="J288" s="15"/>
      <c r="K288" s="15"/>
      <c r="L288" s="15"/>
      <c r="M288" s="15"/>
      <c r="N288" s="15"/>
      <c r="O288" s="15"/>
      <c r="P288" s="15"/>
      <c r="Q288" s="15"/>
      <c r="R288" s="15"/>
      <c r="S288" s="15"/>
      <c r="T288" s="15"/>
      <c r="U288" s="15"/>
      <c r="V288" s="18"/>
      <c r="W288" s="18"/>
      <c r="X288" s="30"/>
      <c r="Y288" s="30"/>
      <c r="Z288" s="30"/>
      <c r="AA288" s="30"/>
      <c r="AB288" s="34"/>
      <c r="AC288" s="30"/>
      <c r="AD288" s="30"/>
      <c r="AE288" s="30"/>
      <c r="AF288" s="30"/>
      <c r="AG288" s="30"/>
      <c r="AH288" s="30"/>
      <c r="AI288" s="30"/>
      <c r="AJ288" s="30"/>
      <c r="AK288" s="30"/>
      <c r="AL288" s="30"/>
      <c r="AM288" s="30"/>
      <c r="AN288" s="30"/>
      <c r="AO288" s="30"/>
    </row>
    <row r="289" spans="1:41" s="39" customFormat="1" ht="24" customHeight="1">
      <c r="A289" s="32">
        <v>27</v>
      </c>
      <c r="B289" s="139"/>
      <c r="C289" s="106" t="str">
        <f>IF(A289="","VARA",VLOOKUP(A289,'[1]varas'!$A$4:$B$67,2))</f>
        <v>2ª VT Cabo</v>
      </c>
      <c r="D289" s="15"/>
      <c r="E289" s="16"/>
      <c r="F289" s="15">
        <f>15+23+10</f>
        <v>48</v>
      </c>
      <c r="G289" s="15">
        <v>9</v>
      </c>
      <c r="H289" s="15">
        <v>0</v>
      </c>
      <c r="I289" s="17">
        <f>SUM(F289:H289)</f>
        <v>57</v>
      </c>
      <c r="J289" s="15">
        <v>10</v>
      </c>
      <c r="K289" s="15">
        <v>7</v>
      </c>
      <c r="L289" s="15">
        <v>4</v>
      </c>
      <c r="M289" s="15">
        <v>6</v>
      </c>
      <c r="N289" s="15">
        <v>0</v>
      </c>
      <c r="O289" s="15">
        <v>23</v>
      </c>
      <c r="P289" s="15">
        <f>SUM(J289:O289)</f>
        <v>50</v>
      </c>
      <c r="Q289" s="15">
        <v>6</v>
      </c>
      <c r="R289" s="15">
        <v>0</v>
      </c>
      <c r="S289" s="15">
        <v>0</v>
      </c>
      <c r="T289" s="15">
        <v>1</v>
      </c>
      <c r="U289" s="15">
        <v>80</v>
      </c>
      <c r="V289" s="18"/>
      <c r="W289" s="18"/>
      <c r="X289" s="30"/>
      <c r="Y289" s="30"/>
      <c r="Z289" s="30"/>
      <c r="AA289" s="30"/>
      <c r="AB289" s="34"/>
      <c r="AC289" s="30"/>
      <c r="AD289" s="30"/>
      <c r="AE289" s="30"/>
      <c r="AF289" s="30"/>
      <c r="AG289" s="30"/>
      <c r="AH289" s="30"/>
      <c r="AI289" s="30"/>
      <c r="AJ289" s="30"/>
      <c r="AK289" s="30"/>
      <c r="AL289" s="30"/>
      <c r="AM289" s="30"/>
      <c r="AN289" s="30"/>
      <c r="AO289" s="30"/>
    </row>
    <row r="290" spans="1:41" s="53" customFormat="1" ht="18.75" customHeight="1">
      <c r="A290" s="47"/>
      <c r="B290" s="134"/>
      <c r="C290" s="107" t="s">
        <v>12</v>
      </c>
      <c r="D290" s="51"/>
      <c r="E290" s="52"/>
      <c r="F290" s="24">
        <f>SUM(F288:F289)</f>
        <v>48</v>
      </c>
      <c r="G290" s="24">
        <f>SUM(G288:G289)</f>
        <v>9</v>
      </c>
      <c r="H290" s="24">
        <f>SUM(H288:H289)</f>
        <v>0</v>
      </c>
      <c r="I290" s="25">
        <f>SUM(F290:H290)</f>
        <v>57</v>
      </c>
      <c r="J290" s="24">
        <f aca="true" t="shared" si="84" ref="J290:O290">SUM(J288:J289)</f>
        <v>10</v>
      </c>
      <c r="K290" s="24">
        <f t="shared" si="84"/>
        <v>7</v>
      </c>
      <c r="L290" s="24">
        <f t="shared" si="84"/>
        <v>4</v>
      </c>
      <c r="M290" s="24">
        <f t="shared" si="84"/>
        <v>6</v>
      </c>
      <c r="N290" s="24">
        <f t="shared" si="84"/>
        <v>0</v>
      </c>
      <c r="O290" s="24">
        <f t="shared" si="84"/>
        <v>23</v>
      </c>
      <c r="P290" s="24">
        <f>SUM(J290:O290)</f>
        <v>50</v>
      </c>
      <c r="Q290" s="24">
        <f>SUM(Q288:Q289)</f>
        <v>6</v>
      </c>
      <c r="R290" s="24">
        <f>SUM(R288:R289)</f>
        <v>0</v>
      </c>
      <c r="S290" s="24">
        <f>SUM(S288:S289)</f>
        <v>0</v>
      </c>
      <c r="T290" s="24">
        <f>SUM(T288:T289)</f>
        <v>1</v>
      </c>
      <c r="U290" s="24">
        <f>SUM(U288:U289)</f>
        <v>80</v>
      </c>
      <c r="V290" s="26">
        <f>IF(I290-Q290=0,"",IF(D290="",(P290+S290)/(I290-Q290),IF(AND(D290&lt;&gt;"",(P290+S290)/(I290-Q290)&gt;=50%),(P290+S290)/(I290-Q290),"")))</f>
        <v>0.9803921568627451</v>
      </c>
      <c r="W290" s="26">
        <f>IF(I290=O290,"",IF(V290="",0,(P290+Q290+S290-O290)/(I290-O290)))</f>
        <v>0.9705882352941176</v>
      </c>
      <c r="X290" s="49"/>
      <c r="Y290" s="49"/>
      <c r="Z290" s="49"/>
      <c r="AA290" s="49"/>
      <c r="AB290" s="50"/>
      <c r="AC290" s="49"/>
      <c r="AD290" s="49"/>
      <c r="AE290" s="49"/>
      <c r="AF290" s="49"/>
      <c r="AG290" s="49"/>
      <c r="AH290" s="49"/>
      <c r="AI290" s="49"/>
      <c r="AJ290" s="49"/>
      <c r="AK290" s="49"/>
      <c r="AL290" s="49"/>
      <c r="AM290" s="49"/>
      <c r="AN290" s="49"/>
      <c r="AO290" s="49"/>
    </row>
    <row r="291" spans="1:41" s="39" customFormat="1" ht="21.75" customHeight="1">
      <c r="A291" s="32"/>
      <c r="B291" s="138" t="s">
        <v>95</v>
      </c>
      <c r="C291" s="105" t="s">
        <v>2</v>
      </c>
      <c r="D291" s="29" t="s">
        <v>191</v>
      </c>
      <c r="E291" s="16" t="s">
        <v>228</v>
      </c>
      <c r="F291" s="15"/>
      <c r="G291" s="15"/>
      <c r="H291" s="15"/>
      <c r="I291" s="17"/>
      <c r="J291" s="15"/>
      <c r="K291" s="15"/>
      <c r="L291" s="15"/>
      <c r="M291" s="15"/>
      <c r="N291" s="15"/>
      <c r="O291" s="15"/>
      <c r="P291" s="15"/>
      <c r="Q291" s="15"/>
      <c r="R291" s="15"/>
      <c r="S291" s="15"/>
      <c r="T291" s="15"/>
      <c r="U291" s="15"/>
      <c r="V291" s="18"/>
      <c r="W291" s="18"/>
      <c r="X291" s="30"/>
      <c r="Y291" s="30"/>
      <c r="Z291" s="30"/>
      <c r="AA291" s="30"/>
      <c r="AB291" s="34"/>
      <c r="AC291" s="30"/>
      <c r="AD291" s="30"/>
      <c r="AE291" s="30"/>
      <c r="AF291" s="30"/>
      <c r="AG291" s="30"/>
      <c r="AH291" s="30"/>
      <c r="AI291" s="30"/>
      <c r="AJ291" s="30"/>
      <c r="AK291" s="30"/>
      <c r="AL291" s="30"/>
      <c r="AM291" s="30"/>
      <c r="AN291" s="30"/>
      <c r="AO291" s="30"/>
    </row>
    <row r="292" spans="1:41" s="39" customFormat="1" ht="21.75" customHeight="1">
      <c r="A292" s="32">
        <v>58</v>
      </c>
      <c r="B292" s="142"/>
      <c r="C292" s="106" t="str">
        <f>IF(A292="","VARA",VLOOKUP(A292,'[1]varas'!$A$4:$B$67,2))</f>
        <v>VT S.Talhada</v>
      </c>
      <c r="D292" s="15"/>
      <c r="E292" s="16"/>
      <c r="F292" s="15">
        <v>7</v>
      </c>
      <c r="G292" s="15">
        <v>13</v>
      </c>
      <c r="H292" s="15">
        <v>0</v>
      </c>
      <c r="I292" s="17">
        <f>SUM(F292:H292)</f>
        <v>20</v>
      </c>
      <c r="J292" s="15">
        <v>0</v>
      </c>
      <c r="K292" s="15">
        <v>0</v>
      </c>
      <c r="L292" s="15">
        <v>2</v>
      </c>
      <c r="M292" s="15">
        <v>1</v>
      </c>
      <c r="N292" s="15">
        <v>0</v>
      </c>
      <c r="O292" s="15">
        <v>4</v>
      </c>
      <c r="P292" s="15">
        <f>SUM(J292:O292)</f>
        <v>7</v>
      </c>
      <c r="Q292" s="15">
        <v>0</v>
      </c>
      <c r="R292" s="15">
        <v>13</v>
      </c>
      <c r="S292" s="15">
        <v>0</v>
      </c>
      <c r="T292" s="15">
        <v>0</v>
      </c>
      <c r="U292" s="15">
        <v>18</v>
      </c>
      <c r="V292" s="18"/>
      <c r="W292" s="18"/>
      <c r="X292" s="30"/>
      <c r="Y292" s="30"/>
      <c r="Z292" s="30"/>
      <c r="AA292" s="30"/>
      <c r="AB292" s="34"/>
      <c r="AC292" s="30"/>
      <c r="AD292" s="30"/>
      <c r="AE292" s="30"/>
      <c r="AF292" s="30"/>
      <c r="AG292" s="30"/>
      <c r="AH292" s="30"/>
      <c r="AI292" s="30"/>
      <c r="AJ292" s="30"/>
      <c r="AK292" s="30"/>
      <c r="AL292" s="30"/>
      <c r="AM292" s="30"/>
      <c r="AN292" s="30"/>
      <c r="AO292" s="30"/>
    </row>
    <row r="293" spans="1:41" s="39" customFormat="1" ht="21.75" customHeight="1">
      <c r="A293" s="32">
        <v>54</v>
      </c>
      <c r="B293" s="142"/>
      <c r="C293" s="106" t="str">
        <f>IF(A293="","VARA",VLOOKUP(A293,'[1]varas'!$A$4:$B$67,2))</f>
        <v>1ª VT Palmares</v>
      </c>
      <c r="D293" s="15"/>
      <c r="E293" s="16"/>
      <c r="F293" s="15">
        <f>35+34+0</f>
        <v>69</v>
      </c>
      <c r="G293" s="15">
        <v>0</v>
      </c>
      <c r="H293" s="15">
        <v>0</v>
      </c>
      <c r="I293" s="17">
        <f>SUM(F293:H293)</f>
        <v>69</v>
      </c>
      <c r="J293" s="15">
        <v>0</v>
      </c>
      <c r="K293" s="15">
        <v>10</v>
      </c>
      <c r="L293" s="15">
        <v>0</v>
      </c>
      <c r="M293" s="15">
        <v>0</v>
      </c>
      <c r="N293" s="15">
        <v>0</v>
      </c>
      <c r="O293" s="15">
        <v>34</v>
      </c>
      <c r="P293" s="15">
        <f>SUM(J293:O293)</f>
        <v>44</v>
      </c>
      <c r="Q293" s="15">
        <v>5</v>
      </c>
      <c r="R293" s="15">
        <v>20</v>
      </c>
      <c r="S293" s="15">
        <v>0</v>
      </c>
      <c r="T293" s="15">
        <v>0</v>
      </c>
      <c r="U293" s="15">
        <v>159</v>
      </c>
      <c r="V293" s="18"/>
      <c r="W293" s="18"/>
      <c r="X293" s="30"/>
      <c r="Y293" s="30"/>
      <c r="Z293" s="30"/>
      <c r="AA293" s="30"/>
      <c r="AB293" s="34"/>
      <c r="AC293" s="30"/>
      <c r="AD293" s="30"/>
      <c r="AE293" s="30"/>
      <c r="AF293" s="30"/>
      <c r="AG293" s="30"/>
      <c r="AH293" s="30"/>
      <c r="AI293" s="30"/>
      <c r="AJ293" s="30"/>
      <c r="AK293" s="30"/>
      <c r="AL293" s="30"/>
      <c r="AM293" s="30"/>
      <c r="AN293" s="30"/>
      <c r="AO293" s="30"/>
    </row>
    <row r="294" spans="1:41" s="39" customFormat="1" ht="22.5" customHeight="1">
      <c r="A294" s="32">
        <v>59</v>
      </c>
      <c r="B294" s="139"/>
      <c r="C294" s="106" t="str">
        <f>IF(A294="","VARA",VLOOKUP(A294,'[1]varas'!$A$4:$B$67,2))</f>
        <v>VT Salgueiro</v>
      </c>
      <c r="D294" s="15"/>
      <c r="E294" s="16"/>
      <c r="F294" s="15">
        <v>0</v>
      </c>
      <c r="G294" s="15">
        <v>9</v>
      </c>
      <c r="H294" s="15">
        <v>0</v>
      </c>
      <c r="I294" s="17">
        <f>SUM(F294:H294)</f>
        <v>9</v>
      </c>
      <c r="J294" s="15">
        <v>0</v>
      </c>
      <c r="K294" s="15">
        <v>0</v>
      </c>
      <c r="L294" s="15">
        <v>0</v>
      </c>
      <c r="M294" s="15">
        <v>0</v>
      </c>
      <c r="N294" s="15">
        <v>0</v>
      </c>
      <c r="O294" s="15">
        <v>0</v>
      </c>
      <c r="P294" s="15">
        <f>SUM(J294:O294)</f>
        <v>0</v>
      </c>
      <c r="Q294" s="15">
        <v>0</v>
      </c>
      <c r="R294" s="15">
        <v>9</v>
      </c>
      <c r="S294" s="15">
        <v>0</v>
      </c>
      <c r="T294" s="15">
        <v>0</v>
      </c>
      <c r="U294" s="15">
        <v>0</v>
      </c>
      <c r="V294" s="18"/>
      <c r="W294" s="18"/>
      <c r="X294" s="30"/>
      <c r="Y294" s="30"/>
      <c r="Z294" s="30"/>
      <c r="AA294" s="30"/>
      <c r="AB294" s="34"/>
      <c r="AC294" s="30"/>
      <c r="AD294" s="30"/>
      <c r="AE294" s="30"/>
      <c r="AF294" s="30"/>
      <c r="AG294" s="30"/>
      <c r="AH294" s="30"/>
      <c r="AI294" s="30"/>
      <c r="AJ294" s="30"/>
      <c r="AK294" s="30"/>
      <c r="AL294" s="30"/>
      <c r="AM294" s="30"/>
      <c r="AN294" s="30"/>
      <c r="AO294" s="30"/>
    </row>
    <row r="295" spans="1:41" s="39" customFormat="1" ht="18.75" customHeight="1">
      <c r="A295" s="32">
        <v>62</v>
      </c>
      <c r="B295" s="139"/>
      <c r="C295" s="106" t="str">
        <f>IF(A295="","VARA",VLOOKUP(A295,'[1]varas'!$A$4:$B$67,2))</f>
        <v>PAJT Floresta</v>
      </c>
      <c r="D295" s="15"/>
      <c r="E295" s="16"/>
      <c r="F295" s="15">
        <v>0</v>
      </c>
      <c r="G295" s="15">
        <v>16</v>
      </c>
      <c r="H295" s="15">
        <v>0</v>
      </c>
      <c r="I295" s="17">
        <f>SUM(F295:H295)</f>
        <v>16</v>
      </c>
      <c r="J295" s="15">
        <v>14</v>
      </c>
      <c r="K295" s="15">
        <v>1</v>
      </c>
      <c r="L295" s="15">
        <v>0</v>
      </c>
      <c r="M295" s="15">
        <v>0</v>
      </c>
      <c r="N295" s="15">
        <v>0</v>
      </c>
      <c r="O295" s="15">
        <v>0</v>
      </c>
      <c r="P295" s="15">
        <f>SUM(J295:O295)</f>
        <v>15</v>
      </c>
      <c r="Q295" s="15">
        <v>1</v>
      </c>
      <c r="R295" s="15">
        <v>0</v>
      </c>
      <c r="S295" s="15">
        <v>0</v>
      </c>
      <c r="T295" s="15">
        <v>0</v>
      </c>
      <c r="U295" s="15">
        <v>0</v>
      </c>
      <c r="V295" s="18"/>
      <c r="W295" s="18"/>
      <c r="X295" s="30"/>
      <c r="Y295" s="30"/>
      <c r="Z295" s="30"/>
      <c r="AA295" s="30"/>
      <c r="AB295" s="34"/>
      <c r="AC295" s="30"/>
      <c r="AD295" s="30"/>
      <c r="AE295" s="30"/>
      <c r="AF295" s="30"/>
      <c r="AG295" s="30"/>
      <c r="AH295" s="30"/>
      <c r="AI295" s="30"/>
      <c r="AJ295" s="30"/>
      <c r="AK295" s="30"/>
      <c r="AL295" s="30"/>
      <c r="AM295" s="30"/>
      <c r="AN295" s="30"/>
      <c r="AO295" s="30"/>
    </row>
    <row r="296" spans="1:41" s="39" customFormat="1" ht="22.5" customHeight="1">
      <c r="A296" s="32"/>
      <c r="B296" s="134"/>
      <c r="C296" s="107" t="s">
        <v>12</v>
      </c>
      <c r="D296" s="33"/>
      <c r="E296" s="23"/>
      <c r="F296" s="24">
        <f>SUM(F291:F295)</f>
        <v>76</v>
      </c>
      <c r="G296" s="24">
        <f>SUM(G291:G295)</f>
        <v>38</v>
      </c>
      <c r="H296" s="24">
        <f>SUM(H291:H295)</f>
        <v>0</v>
      </c>
      <c r="I296" s="40">
        <f>SUM(F296:H296)</f>
        <v>114</v>
      </c>
      <c r="J296" s="24">
        <f aca="true" t="shared" si="85" ref="J296:O296">SUM(J291:J295)</f>
        <v>14</v>
      </c>
      <c r="K296" s="24">
        <f t="shared" si="85"/>
        <v>11</v>
      </c>
      <c r="L296" s="24">
        <f t="shared" si="85"/>
        <v>2</v>
      </c>
      <c r="M296" s="24">
        <f t="shared" si="85"/>
        <v>1</v>
      </c>
      <c r="N296" s="24">
        <f t="shared" si="85"/>
        <v>0</v>
      </c>
      <c r="O296" s="24">
        <f t="shared" si="85"/>
        <v>38</v>
      </c>
      <c r="P296" s="24">
        <f>SUM(J296:O296)</f>
        <v>66</v>
      </c>
      <c r="Q296" s="24">
        <f>SUM(Q291:Q295)</f>
        <v>6</v>
      </c>
      <c r="R296" s="24">
        <f>SUM(R291:R295)</f>
        <v>42</v>
      </c>
      <c r="S296" s="24">
        <f>SUM(S291:S295)</f>
        <v>0</v>
      </c>
      <c r="T296" s="24">
        <f>SUM(T291:T295)</f>
        <v>0</v>
      </c>
      <c r="U296" s="24">
        <f>SUM(U291:U295)</f>
        <v>177</v>
      </c>
      <c r="V296" s="26">
        <f>IF(I296-Q296=0,"",IF(D296="",(P296+S296)/(I296-Q296),IF(AND(D296&lt;&gt;"",(P296+S296)/(I296-Q296)&gt;=50%),(P296+S296)/(I296-Q296),"")))</f>
        <v>0.6111111111111112</v>
      </c>
      <c r="W296" s="26">
        <f>IF(I296=O296,"",IF(V296="",0,(P296+Q296+S296-O296)/(I296-O296)))</f>
        <v>0.4473684210526316</v>
      </c>
      <c r="X296" s="30"/>
      <c r="Y296" s="30"/>
      <c r="Z296" s="30"/>
      <c r="AA296" s="30"/>
      <c r="AB296" s="34"/>
      <c r="AC296" s="30"/>
      <c r="AD296" s="30"/>
      <c r="AE296" s="30"/>
      <c r="AF296" s="30"/>
      <c r="AG296" s="30"/>
      <c r="AH296" s="30"/>
      <c r="AI296" s="30"/>
      <c r="AJ296" s="30"/>
      <c r="AK296" s="30"/>
      <c r="AL296" s="30"/>
      <c r="AM296" s="30"/>
      <c r="AN296" s="30"/>
      <c r="AO296" s="30"/>
    </row>
    <row r="297" spans="1:41" s="39" customFormat="1" ht="18.75" customHeight="1">
      <c r="A297" s="32"/>
      <c r="B297" s="138" t="s">
        <v>166</v>
      </c>
      <c r="C297" s="105" t="s">
        <v>2</v>
      </c>
      <c r="D297" s="29" t="s">
        <v>30</v>
      </c>
      <c r="E297" s="16" t="s">
        <v>202</v>
      </c>
      <c r="F297" s="15"/>
      <c r="G297" s="15"/>
      <c r="H297" s="15"/>
      <c r="I297" s="17"/>
      <c r="J297" s="15"/>
      <c r="K297" s="15"/>
      <c r="L297" s="15"/>
      <c r="M297" s="15"/>
      <c r="N297" s="15"/>
      <c r="O297" s="15"/>
      <c r="P297" s="15"/>
      <c r="Q297" s="15"/>
      <c r="R297" s="15"/>
      <c r="S297" s="15"/>
      <c r="T297" s="15"/>
      <c r="U297" s="15"/>
      <c r="V297" s="18"/>
      <c r="W297" s="18"/>
      <c r="X297" s="30"/>
      <c r="Y297" s="30"/>
      <c r="Z297" s="30"/>
      <c r="AA297" s="30"/>
      <c r="AB297" s="34"/>
      <c r="AC297" s="30"/>
      <c r="AD297" s="30"/>
      <c r="AE297" s="30"/>
      <c r="AF297" s="30"/>
      <c r="AG297" s="30"/>
      <c r="AH297" s="30"/>
      <c r="AI297" s="30"/>
      <c r="AJ297" s="30"/>
      <c r="AK297" s="30"/>
      <c r="AL297" s="30"/>
      <c r="AM297" s="30"/>
      <c r="AN297" s="30"/>
      <c r="AO297" s="30"/>
    </row>
    <row r="298" spans="1:41" s="39" customFormat="1" ht="21.75" customHeight="1">
      <c r="A298" s="32">
        <v>11</v>
      </c>
      <c r="B298" s="139"/>
      <c r="C298" s="106" t="str">
        <f>IF(A298="","VARA",VLOOKUP(A298,'[1]varas'!$A$4:$B$67,2))</f>
        <v>11ª VT Recife</v>
      </c>
      <c r="D298" s="15"/>
      <c r="E298" s="16"/>
      <c r="F298" s="15">
        <v>13</v>
      </c>
      <c r="G298" s="15">
        <v>0</v>
      </c>
      <c r="H298" s="15">
        <v>0</v>
      </c>
      <c r="I298" s="17">
        <f aca="true" t="shared" si="86" ref="I298:I304">SUM(F298:H298)</f>
        <v>13</v>
      </c>
      <c r="J298" s="15">
        <v>0</v>
      </c>
      <c r="K298" s="15">
        <v>2</v>
      </c>
      <c r="L298" s="15">
        <v>0</v>
      </c>
      <c r="M298" s="15">
        <v>0</v>
      </c>
      <c r="N298" s="15">
        <v>0</v>
      </c>
      <c r="O298" s="15">
        <v>3</v>
      </c>
      <c r="P298" s="15">
        <f aca="true" t="shared" si="87" ref="P298:P304">SUM(J298:O298)</f>
        <v>5</v>
      </c>
      <c r="Q298" s="15">
        <v>8</v>
      </c>
      <c r="R298" s="15">
        <v>0</v>
      </c>
      <c r="S298" s="15">
        <v>0</v>
      </c>
      <c r="T298" s="15">
        <v>0</v>
      </c>
      <c r="U298" s="15">
        <v>21</v>
      </c>
      <c r="V298" s="18"/>
      <c r="W298" s="18"/>
      <c r="X298" s="30"/>
      <c r="Y298" s="30"/>
      <c r="Z298" s="30"/>
      <c r="AA298" s="30"/>
      <c r="AB298" s="34"/>
      <c r="AC298" s="30"/>
      <c r="AD298" s="30"/>
      <c r="AE298" s="30"/>
      <c r="AF298" s="30"/>
      <c r="AG298" s="30"/>
      <c r="AH298" s="30"/>
      <c r="AI298" s="30"/>
      <c r="AJ298" s="30"/>
      <c r="AK298" s="30"/>
      <c r="AL298" s="30"/>
      <c r="AM298" s="30"/>
      <c r="AN298" s="30"/>
      <c r="AO298" s="30"/>
    </row>
    <row r="299" spans="1:41" s="39" customFormat="1" ht="21.75" customHeight="1">
      <c r="A299" s="32">
        <v>12</v>
      </c>
      <c r="B299" s="139"/>
      <c r="C299" s="106" t="str">
        <f>IF(A299="","VARA",VLOOKUP(A299,'[1]varas'!$A$4:$B$67,2))</f>
        <v>12ª VT Recife</v>
      </c>
      <c r="D299" s="15"/>
      <c r="E299" s="16"/>
      <c r="F299" s="15">
        <v>0</v>
      </c>
      <c r="G299" s="15">
        <v>0</v>
      </c>
      <c r="H299" s="15">
        <v>3</v>
      </c>
      <c r="I299" s="17">
        <f t="shared" si="86"/>
        <v>3</v>
      </c>
      <c r="J299" s="15">
        <v>3</v>
      </c>
      <c r="K299" s="15">
        <v>0</v>
      </c>
      <c r="L299" s="15">
        <v>0</v>
      </c>
      <c r="M299" s="15">
        <v>0</v>
      </c>
      <c r="N299" s="15">
        <v>0</v>
      </c>
      <c r="O299" s="15">
        <v>0</v>
      </c>
      <c r="P299" s="15">
        <f t="shared" si="87"/>
        <v>3</v>
      </c>
      <c r="Q299" s="15">
        <v>0</v>
      </c>
      <c r="R299" s="15">
        <v>0</v>
      </c>
      <c r="S299" s="15">
        <v>0</v>
      </c>
      <c r="T299" s="15">
        <v>0</v>
      </c>
      <c r="U299" s="15">
        <v>0</v>
      </c>
      <c r="V299" s="18"/>
      <c r="W299" s="18"/>
      <c r="X299" s="30"/>
      <c r="Y299" s="30"/>
      <c r="Z299" s="30"/>
      <c r="AA299" s="30"/>
      <c r="AB299" s="34"/>
      <c r="AC299" s="30"/>
      <c r="AD299" s="30"/>
      <c r="AE299" s="30"/>
      <c r="AF299" s="30"/>
      <c r="AG299" s="30"/>
      <c r="AH299" s="30"/>
      <c r="AI299" s="30"/>
      <c r="AJ299" s="30"/>
      <c r="AK299" s="30"/>
      <c r="AL299" s="30"/>
      <c r="AM299" s="30"/>
      <c r="AN299" s="30"/>
      <c r="AO299" s="30"/>
    </row>
    <row r="300" spans="1:41" s="39" customFormat="1" ht="23.25" customHeight="1">
      <c r="A300" s="32">
        <v>17</v>
      </c>
      <c r="B300" s="139"/>
      <c r="C300" s="106" t="str">
        <f>IF(A300="","VARA",VLOOKUP(A300,'[1]varas'!$A$4:$B$67,2))</f>
        <v>17ª VT Recife</v>
      </c>
      <c r="D300" s="15"/>
      <c r="E300" s="16"/>
      <c r="F300" s="15">
        <v>0</v>
      </c>
      <c r="G300" s="15">
        <v>0</v>
      </c>
      <c r="H300" s="15">
        <v>3</v>
      </c>
      <c r="I300" s="17">
        <f t="shared" si="86"/>
        <v>3</v>
      </c>
      <c r="J300" s="15">
        <v>2</v>
      </c>
      <c r="K300" s="15">
        <v>0</v>
      </c>
      <c r="L300" s="15">
        <v>0</v>
      </c>
      <c r="M300" s="15">
        <v>0</v>
      </c>
      <c r="N300" s="15">
        <v>0</v>
      </c>
      <c r="O300" s="15">
        <v>0</v>
      </c>
      <c r="P300" s="15">
        <f t="shared" si="87"/>
        <v>2</v>
      </c>
      <c r="Q300" s="15">
        <v>0</v>
      </c>
      <c r="R300" s="15">
        <v>0</v>
      </c>
      <c r="S300" s="15">
        <v>0</v>
      </c>
      <c r="T300" s="15">
        <v>1</v>
      </c>
      <c r="U300" s="15">
        <v>0</v>
      </c>
      <c r="V300" s="18"/>
      <c r="W300" s="18"/>
      <c r="X300" s="30"/>
      <c r="Y300" s="30"/>
      <c r="Z300" s="30"/>
      <c r="AA300" s="30"/>
      <c r="AB300" s="34"/>
      <c r="AC300" s="30"/>
      <c r="AD300" s="30"/>
      <c r="AE300" s="30"/>
      <c r="AF300" s="30"/>
      <c r="AG300" s="30"/>
      <c r="AH300" s="30"/>
      <c r="AI300" s="30"/>
      <c r="AJ300" s="30"/>
      <c r="AK300" s="30"/>
      <c r="AL300" s="30"/>
      <c r="AM300" s="30"/>
      <c r="AN300" s="30"/>
      <c r="AO300" s="30"/>
    </row>
    <row r="301" spans="1:41" s="39" customFormat="1" ht="23.25" customHeight="1">
      <c r="A301" s="32">
        <v>41</v>
      </c>
      <c r="B301" s="139"/>
      <c r="C301" s="106" t="str">
        <f>IF(A301="","VARA",VLOOKUP(A301,'[1]varas'!$A$4:$B$67,2))</f>
        <v>1ª VT Paulista</v>
      </c>
      <c r="D301" s="15"/>
      <c r="E301" s="16"/>
      <c r="F301" s="15">
        <v>3</v>
      </c>
      <c r="G301" s="15">
        <v>0</v>
      </c>
      <c r="H301" s="15">
        <v>0</v>
      </c>
      <c r="I301" s="17">
        <f>SUM(F301:H301)</f>
        <v>3</v>
      </c>
      <c r="J301" s="15">
        <v>0</v>
      </c>
      <c r="K301" s="15">
        <v>0</v>
      </c>
      <c r="L301" s="15">
        <v>0</v>
      </c>
      <c r="M301" s="15">
        <v>0</v>
      </c>
      <c r="N301" s="15">
        <v>0</v>
      </c>
      <c r="O301" s="15">
        <v>0</v>
      </c>
      <c r="P301" s="15">
        <f>SUM(J301:O301)</f>
        <v>0</v>
      </c>
      <c r="Q301" s="15">
        <v>0</v>
      </c>
      <c r="R301" s="15">
        <v>3</v>
      </c>
      <c r="S301" s="15">
        <v>0</v>
      </c>
      <c r="T301" s="15">
        <v>0</v>
      </c>
      <c r="U301" s="15">
        <v>0</v>
      </c>
      <c r="V301" s="18"/>
      <c r="W301" s="18"/>
      <c r="X301" s="30"/>
      <c r="Y301" s="30"/>
      <c r="Z301" s="30"/>
      <c r="AA301" s="30"/>
      <c r="AB301" s="34"/>
      <c r="AC301" s="30"/>
      <c r="AD301" s="30"/>
      <c r="AE301" s="30"/>
      <c r="AF301" s="30"/>
      <c r="AG301" s="30"/>
      <c r="AH301" s="30"/>
      <c r="AI301" s="30"/>
      <c r="AJ301" s="30"/>
      <c r="AK301" s="30"/>
      <c r="AL301" s="30"/>
      <c r="AM301" s="30"/>
      <c r="AN301" s="30"/>
      <c r="AO301" s="30"/>
    </row>
    <row r="302" spans="1:41" s="39" customFormat="1" ht="21" customHeight="1">
      <c r="A302" s="32">
        <v>61</v>
      </c>
      <c r="B302" s="139"/>
      <c r="C302" s="106" t="str">
        <f>IF(A302="","VARA",VLOOKUP(A302,'[1]varas'!$A$4:$B$67,2))</f>
        <v>VT Vitória</v>
      </c>
      <c r="D302" s="15"/>
      <c r="E302" s="16"/>
      <c r="F302" s="15">
        <v>0</v>
      </c>
      <c r="G302" s="15">
        <v>0</v>
      </c>
      <c r="H302" s="15">
        <v>3</v>
      </c>
      <c r="I302" s="17">
        <f>SUM(F302:H302)</f>
        <v>3</v>
      </c>
      <c r="J302" s="15">
        <v>0</v>
      </c>
      <c r="K302" s="15">
        <v>0</v>
      </c>
      <c r="L302" s="15">
        <v>0</v>
      </c>
      <c r="M302" s="15">
        <v>0</v>
      </c>
      <c r="N302" s="15">
        <v>0</v>
      </c>
      <c r="O302" s="15">
        <v>0</v>
      </c>
      <c r="P302" s="15">
        <f>SUM(J302:O302)</f>
        <v>0</v>
      </c>
      <c r="Q302" s="15">
        <v>0</v>
      </c>
      <c r="R302" s="15">
        <v>3</v>
      </c>
      <c r="S302" s="15">
        <v>0</v>
      </c>
      <c r="T302" s="15">
        <v>0</v>
      </c>
      <c r="U302" s="15">
        <v>0</v>
      </c>
      <c r="V302" s="18"/>
      <c r="W302" s="18"/>
      <c r="X302" s="30"/>
      <c r="Y302" s="30"/>
      <c r="Z302" s="30"/>
      <c r="AA302" s="30"/>
      <c r="AB302" s="34"/>
      <c r="AC302" s="30"/>
      <c r="AD302" s="30"/>
      <c r="AE302" s="30"/>
      <c r="AF302" s="30"/>
      <c r="AG302" s="30"/>
      <c r="AH302" s="30"/>
      <c r="AI302" s="30"/>
      <c r="AJ302" s="30"/>
      <c r="AK302" s="30"/>
      <c r="AL302" s="30"/>
      <c r="AM302" s="30"/>
      <c r="AN302" s="30"/>
      <c r="AO302" s="30"/>
    </row>
    <row r="303" spans="1:41" s="39" customFormat="1" ht="18.75" customHeight="1">
      <c r="A303" s="32">
        <v>33</v>
      </c>
      <c r="B303" s="139"/>
      <c r="C303" s="106" t="str">
        <f>IF(A303="","VARA",VLOOKUP(A303,'[1]varas'!$A$4:$B$67,2))</f>
        <v>2ª VT Ipojuca</v>
      </c>
      <c r="D303" s="15"/>
      <c r="E303" s="16"/>
      <c r="F303" s="15">
        <f>41+9+14</f>
        <v>64</v>
      </c>
      <c r="G303" s="15">
        <v>5</v>
      </c>
      <c r="H303" s="15">
        <v>4</v>
      </c>
      <c r="I303" s="17">
        <f>SUM(F303:H303)</f>
        <v>73</v>
      </c>
      <c r="J303" s="15">
        <v>19</v>
      </c>
      <c r="K303" s="15">
        <v>9</v>
      </c>
      <c r="L303" s="15">
        <v>13</v>
      </c>
      <c r="M303" s="15">
        <v>1</v>
      </c>
      <c r="N303" s="15">
        <v>0</v>
      </c>
      <c r="O303" s="15">
        <v>9</v>
      </c>
      <c r="P303" s="15">
        <f>SUM(J303:O303)</f>
        <v>51</v>
      </c>
      <c r="Q303" s="15">
        <v>10</v>
      </c>
      <c r="R303" s="15">
        <v>12</v>
      </c>
      <c r="S303" s="15">
        <v>0</v>
      </c>
      <c r="T303" s="15">
        <v>0</v>
      </c>
      <c r="U303" s="15">
        <v>109</v>
      </c>
      <c r="V303" s="18"/>
      <c r="W303" s="18"/>
      <c r="X303" s="30"/>
      <c r="Y303" s="30"/>
      <c r="Z303" s="30"/>
      <c r="AA303" s="30"/>
      <c r="AB303" s="34"/>
      <c r="AC303" s="30"/>
      <c r="AD303" s="30"/>
      <c r="AE303" s="30"/>
      <c r="AF303" s="30"/>
      <c r="AG303" s="30"/>
      <c r="AH303" s="30"/>
      <c r="AI303" s="30"/>
      <c r="AJ303" s="30"/>
      <c r="AK303" s="30"/>
      <c r="AL303" s="30"/>
      <c r="AM303" s="30"/>
      <c r="AN303" s="30"/>
      <c r="AO303" s="30"/>
    </row>
    <row r="304" spans="1:41" s="39" customFormat="1" ht="21" customHeight="1">
      <c r="A304" s="32"/>
      <c r="B304" s="134"/>
      <c r="C304" s="107" t="s">
        <v>12</v>
      </c>
      <c r="D304" s="33"/>
      <c r="E304" s="23"/>
      <c r="F304" s="24">
        <f>SUM(F297:F303)</f>
        <v>80</v>
      </c>
      <c r="G304" s="24">
        <f>SUM(G297:G303)</f>
        <v>5</v>
      </c>
      <c r="H304" s="24">
        <f>SUM(H297:H303)</f>
        <v>13</v>
      </c>
      <c r="I304" s="40">
        <f t="shared" si="86"/>
        <v>98</v>
      </c>
      <c r="J304" s="24">
        <f aca="true" t="shared" si="88" ref="J304:O304">SUM(J297:J303)</f>
        <v>24</v>
      </c>
      <c r="K304" s="24">
        <f t="shared" si="88"/>
        <v>11</v>
      </c>
      <c r="L304" s="24">
        <f t="shared" si="88"/>
        <v>13</v>
      </c>
      <c r="M304" s="24">
        <f t="shared" si="88"/>
        <v>1</v>
      </c>
      <c r="N304" s="24">
        <f t="shared" si="88"/>
        <v>0</v>
      </c>
      <c r="O304" s="24">
        <f t="shared" si="88"/>
        <v>12</v>
      </c>
      <c r="P304" s="24">
        <f t="shared" si="87"/>
        <v>61</v>
      </c>
      <c r="Q304" s="24">
        <f>SUM(Q297:Q303)</f>
        <v>18</v>
      </c>
      <c r="R304" s="24">
        <f>SUM(R297:R303)</f>
        <v>18</v>
      </c>
      <c r="S304" s="24">
        <f>SUM(S297:S303)</f>
        <v>0</v>
      </c>
      <c r="T304" s="24">
        <f>SUM(T297:T303)</f>
        <v>1</v>
      </c>
      <c r="U304" s="24">
        <f>SUM(U297:U303)</f>
        <v>130</v>
      </c>
      <c r="V304" s="26">
        <f>IF(I304-Q304=0,"",IF(D304="",(P304+S304)/(I304-Q304),IF(AND(D304&lt;&gt;"",(P304+S304)/(I304-Q304)&gt;=50%),(P304+S304)/(I304-Q304),"")))</f>
        <v>0.7625</v>
      </c>
      <c r="W304" s="26">
        <f>IF(I304=O304,"",IF(V304="",0,(P304+Q304+S304-O304)/(I304-O304)))</f>
        <v>0.7790697674418605</v>
      </c>
      <c r="X304" s="30"/>
      <c r="Y304" s="30"/>
      <c r="Z304" s="30"/>
      <c r="AA304" s="30"/>
      <c r="AB304" s="34"/>
      <c r="AC304" s="30"/>
      <c r="AD304" s="30"/>
      <c r="AE304" s="30"/>
      <c r="AF304" s="30"/>
      <c r="AG304" s="30"/>
      <c r="AH304" s="30"/>
      <c r="AI304" s="30"/>
      <c r="AJ304" s="30"/>
      <c r="AK304" s="30"/>
      <c r="AL304" s="30"/>
      <c r="AM304" s="30"/>
      <c r="AN304" s="30"/>
      <c r="AO304" s="30"/>
    </row>
    <row r="305" spans="1:41" s="39" customFormat="1" ht="24.75" customHeight="1">
      <c r="A305" s="32"/>
      <c r="B305" s="138" t="s">
        <v>96</v>
      </c>
      <c r="C305" s="105" t="s">
        <v>2</v>
      </c>
      <c r="D305" s="29" t="s">
        <v>30</v>
      </c>
      <c r="E305" s="16" t="s">
        <v>216</v>
      </c>
      <c r="F305" s="15"/>
      <c r="G305" s="15"/>
      <c r="H305" s="15"/>
      <c r="I305" s="17"/>
      <c r="J305" s="15"/>
      <c r="K305" s="15"/>
      <c r="L305" s="15"/>
      <c r="M305" s="15"/>
      <c r="N305" s="15"/>
      <c r="O305" s="15"/>
      <c r="P305" s="15"/>
      <c r="Q305" s="15"/>
      <c r="R305" s="15"/>
      <c r="S305" s="15"/>
      <c r="T305" s="15"/>
      <c r="U305" s="15"/>
      <c r="V305" s="18"/>
      <c r="W305" s="18"/>
      <c r="X305" s="30"/>
      <c r="Y305" s="30"/>
      <c r="Z305" s="30"/>
      <c r="AA305" s="30"/>
      <c r="AB305" s="34"/>
      <c r="AC305" s="30"/>
      <c r="AD305" s="30"/>
      <c r="AE305" s="30"/>
      <c r="AF305" s="30"/>
      <c r="AG305" s="30"/>
      <c r="AH305" s="30"/>
      <c r="AI305" s="30"/>
      <c r="AJ305" s="30"/>
      <c r="AK305" s="30"/>
      <c r="AL305" s="30"/>
      <c r="AM305" s="30"/>
      <c r="AN305" s="30"/>
      <c r="AO305" s="30"/>
    </row>
    <row r="306" spans="1:41" s="39" customFormat="1" ht="24.75" customHeight="1">
      <c r="A306" s="32">
        <v>9</v>
      </c>
      <c r="B306" s="142"/>
      <c r="C306" s="106" t="str">
        <f>IF(A306="","VARA",VLOOKUP(A306,'[1]varas'!$A$4:$B$67,2))</f>
        <v>9ª VT Recife</v>
      </c>
      <c r="D306" s="15"/>
      <c r="E306" s="16"/>
      <c r="F306" s="15">
        <f>28+5+4+5</f>
        <v>42</v>
      </c>
      <c r="G306" s="15">
        <v>9</v>
      </c>
      <c r="H306" s="15">
        <v>31</v>
      </c>
      <c r="I306" s="17">
        <f>SUM(F306:H306)</f>
        <v>82</v>
      </c>
      <c r="J306" s="15">
        <v>22</v>
      </c>
      <c r="K306" s="15">
        <v>8</v>
      </c>
      <c r="L306" s="15">
        <v>4</v>
      </c>
      <c r="M306" s="15">
        <v>5</v>
      </c>
      <c r="N306" s="15">
        <v>0</v>
      </c>
      <c r="O306" s="15">
        <v>5</v>
      </c>
      <c r="P306" s="15">
        <f>SUM(J306:O306)</f>
        <v>44</v>
      </c>
      <c r="Q306" s="15">
        <v>19</v>
      </c>
      <c r="R306" s="15">
        <v>18</v>
      </c>
      <c r="S306" s="15">
        <v>0</v>
      </c>
      <c r="T306" s="15">
        <v>1</v>
      </c>
      <c r="U306" s="15">
        <v>62</v>
      </c>
      <c r="V306" s="18"/>
      <c r="W306" s="18"/>
      <c r="X306" s="30"/>
      <c r="Y306" s="30"/>
      <c r="Z306" s="30"/>
      <c r="AA306" s="30"/>
      <c r="AB306" s="34"/>
      <c r="AC306" s="30"/>
      <c r="AD306" s="30"/>
      <c r="AE306" s="30"/>
      <c r="AF306" s="30"/>
      <c r="AG306" s="30"/>
      <c r="AH306" s="30"/>
      <c r="AI306" s="30"/>
      <c r="AJ306" s="30"/>
      <c r="AK306" s="30"/>
      <c r="AL306" s="30"/>
      <c r="AM306" s="30"/>
      <c r="AN306" s="30"/>
      <c r="AO306" s="30"/>
    </row>
    <row r="307" spans="1:41" s="39" customFormat="1" ht="21" customHeight="1">
      <c r="A307" s="32">
        <v>21</v>
      </c>
      <c r="B307" s="139"/>
      <c r="C307" s="106" t="str">
        <f>IF(A307="","VARA",VLOOKUP(A307,'[1]varas'!$A$4:$B$67,2))</f>
        <v>21ª VT Recife</v>
      </c>
      <c r="D307" s="15"/>
      <c r="E307" s="16"/>
      <c r="F307" s="15">
        <v>0</v>
      </c>
      <c r="G307" s="15">
        <v>0</v>
      </c>
      <c r="H307" s="15">
        <v>9</v>
      </c>
      <c r="I307" s="17">
        <f>SUM(F307:H307)</f>
        <v>9</v>
      </c>
      <c r="J307" s="15">
        <v>0</v>
      </c>
      <c r="K307" s="15">
        <v>0</v>
      </c>
      <c r="L307" s="15">
        <v>0</v>
      </c>
      <c r="M307" s="15">
        <v>0</v>
      </c>
      <c r="N307" s="15">
        <v>0</v>
      </c>
      <c r="O307" s="15">
        <v>0</v>
      </c>
      <c r="P307" s="15">
        <f>SUM(J307:O307)</f>
        <v>0</v>
      </c>
      <c r="Q307" s="15">
        <v>0</v>
      </c>
      <c r="R307" s="15">
        <v>9</v>
      </c>
      <c r="S307" s="15">
        <v>0</v>
      </c>
      <c r="T307" s="15">
        <v>0</v>
      </c>
      <c r="U307" s="15">
        <v>22</v>
      </c>
      <c r="V307" s="18"/>
      <c r="W307" s="18"/>
      <c r="X307" s="30"/>
      <c r="Y307" s="30"/>
      <c r="Z307" s="30"/>
      <c r="AA307" s="30"/>
      <c r="AB307" s="34"/>
      <c r="AC307" s="30"/>
      <c r="AD307" s="30"/>
      <c r="AE307" s="30"/>
      <c r="AF307" s="30"/>
      <c r="AG307" s="30"/>
      <c r="AH307" s="30"/>
      <c r="AI307" s="30"/>
      <c r="AJ307" s="30"/>
      <c r="AK307" s="30"/>
      <c r="AL307" s="30"/>
      <c r="AM307" s="30"/>
      <c r="AN307" s="30"/>
      <c r="AO307" s="30"/>
    </row>
    <row r="308" spans="1:41" s="39" customFormat="1" ht="22.5" customHeight="1">
      <c r="A308" s="32"/>
      <c r="B308" s="134"/>
      <c r="C308" s="107" t="s">
        <v>12</v>
      </c>
      <c r="D308" s="33"/>
      <c r="E308" s="23"/>
      <c r="F308" s="24">
        <f>SUM(F305:F307)</f>
        <v>42</v>
      </c>
      <c r="G308" s="24">
        <f>SUM(G305:G307)</f>
        <v>9</v>
      </c>
      <c r="H308" s="24">
        <f>SUM(H305:H307)</f>
        <v>40</v>
      </c>
      <c r="I308" s="40">
        <f>SUM(F308:H308)</f>
        <v>91</v>
      </c>
      <c r="J308" s="24">
        <f aca="true" t="shared" si="89" ref="J308:O308">SUM(J305:J307)</f>
        <v>22</v>
      </c>
      <c r="K308" s="24">
        <f t="shared" si="89"/>
        <v>8</v>
      </c>
      <c r="L308" s="24">
        <f t="shared" si="89"/>
        <v>4</v>
      </c>
      <c r="M308" s="24">
        <f t="shared" si="89"/>
        <v>5</v>
      </c>
      <c r="N308" s="24">
        <f t="shared" si="89"/>
        <v>0</v>
      </c>
      <c r="O308" s="24">
        <f t="shared" si="89"/>
        <v>5</v>
      </c>
      <c r="P308" s="24">
        <f>SUM(J308:O308)</f>
        <v>44</v>
      </c>
      <c r="Q308" s="24">
        <f>SUM(Q305:Q307)</f>
        <v>19</v>
      </c>
      <c r="R308" s="24">
        <f>SUM(R305:R307)</f>
        <v>27</v>
      </c>
      <c r="S308" s="24">
        <f>SUM(S305:S307)</f>
        <v>0</v>
      </c>
      <c r="T308" s="24">
        <f>SUM(T305:T307)</f>
        <v>1</v>
      </c>
      <c r="U308" s="24">
        <f>SUM(U305:U307)</f>
        <v>84</v>
      </c>
      <c r="V308" s="26">
        <f>IF(I308-Q308=0,"",IF(D308="",(P308+S308)/(I308-Q308),IF(AND(D308&lt;&gt;"",(P308+S308)/(I308-Q308)&gt;=50%),(P308+S308)/(I308-Q308),"")))</f>
        <v>0.6111111111111112</v>
      </c>
      <c r="W308" s="26">
        <f>IF(I308=O308,"",IF(V308="",0,(P308+Q308+S308-O308)/(I308-O308)))</f>
        <v>0.6744186046511628</v>
      </c>
      <c r="X308" s="30"/>
      <c r="Y308" s="30"/>
      <c r="Z308" s="30"/>
      <c r="AA308" s="30"/>
      <c r="AB308" s="34"/>
      <c r="AC308" s="30"/>
      <c r="AD308" s="30"/>
      <c r="AE308" s="30"/>
      <c r="AF308" s="30"/>
      <c r="AG308" s="30"/>
      <c r="AH308" s="30"/>
      <c r="AI308" s="30"/>
      <c r="AJ308" s="30"/>
      <c r="AK308" s="30"/>
      <c r="AL308" s="30"/>
      <c r="AM308" s="30"/>
      <c r="AN308" s="30"/>
      <c r="AO308" s="30"/>
    </row>
    <row r="309" spans="1:41" s="39" customFormat="1" ht="27" customHeight="1">
      <c r="A309" s="32"/>
      <c r="B309" s="130" t="s">
        <v>97</v>
      </c>
      <c r="C309" s="14" t="s">
        <v>2</v>
      </c>
      <c r="D309" s="29"/>
      <c r="E309" s="16" t="s">
        <v>27</v>
      </c>
      <c r="F309" s="15"/>
      <c r="G309" s="15"/>
      <c r="H309" s="15"/>
      <c r="I309" s="17"/>
      <c r="J309" s="15"/>
      <c r="K309" s="15"/>
      <c r="L309" s="15"/>
      <c r="M309" s="15"/>
      <c r="N309" s="15"/>
      <c r="O309" s="15"/>
      <c r="P309" s="15"/>
      <c r="Q309" s="15"/>
      <c r="R309" s="15"/>
      <c r="S309" s="15"/>
      <c r="T309" s="15"/>
      <c r="U309" s="15"/>
      <c r="V309" s="18"/>
      <c r="W309" s="18"/>
      <c r="X309" s="30"/>
      <c r="Y309" s="30"/>
      <c r="Z309" s="30"/>
      <c r="AA309" s="30"/>
      <c r="AB309" s="34"/>
      <c r="AC309" s="30"/>
      <c r="AD309" s="30"/>
      <c r="AE309" s="30"/>
      <c r="AF309" s="30"/>
      <c r="AG309" s="30"/>
      <c r="AH309" s="30"/>
      <c r="AI309" s="30"/>
      <c r="AJ309" s="30"/>
      <c r="AK309" s="30"/>
      <c r="AL309" s="30"/>
      <c r="AM309" s="30"/>
      <c r="AN309" s="30"/>
      <c r="AO309" s="30"/>
    </row>
    <row r="310" spans="1:41" s="39" customFormat="1" ht="21.75" customHeight="1">
      <c r="A310" s="32">
        <v>4</v>
      </c>
      <c r="B310" s="130"/>
      <c r="C310" s="20" t="str">
        <f>IF(A310="","VARA",VLOOKUP(A310,'[1]varas'!$A$4:$B$67,2))</f>
        <v>4ª VT Recife</v>
      </c>
      <c r="D310" s="15"/>
      <c r="E310" s="16"/>
      <c r="F310" s="15">
        <f>34+27+9+2</f>
        <v>72</v>
      </c>
      <c r="G310" s="15">
        <v>15</v>
      </c>
      <c r="H310" s="15">
        <v>0</v>
      </c>
      <c r="I310" s="17">
        <f>SUM(F310:H310)</f>
        <v>87</v>
      </c>
      <c r="J310" s="15">
        <v>28</v>
      </c>
      <c r="K310" s="15">
        <v>6</v>
      </c>
      <c r="L310" s="15">
        <v>9</v>
      </c>
      <c r="M310" s="15">
        <v>2</v>
      </c>
      <c r="N310" s="15">
        <v>0</v>
      </c>
      <c r="O310" s="15">
        <v>27</v>
      </c>
      <c r="P310" s="15">
        <f>SUM(J310:O310)</f>
        <v>72</v>
      </c>
      <c r="Q310" s="15">
        <v>14</v>
      </c>
      <c r="R310" s="15">
        <v>1</v>
      </c>
      <c r="S310" s="15">
        <v>0</v>
      </c>
      <c r="T310" s="15">
        <v>0</v>
      </c>
      <c r="U310" s="15">
        <v>145</v>
      </c>
      <c r="V310" s="18"/>
      <c r="W310" s="18"/>
      <c r="X310" s="30"/>
      <c r="Y310" s="30"/>
      <c r="Z310" s="30"/>
      <c r="AA310" s="30"/>
      <c r="AB310" s="34"/>
      <c r="AC310" s="30"/>
      <c r="AD310" s="30"/>
      <c r="AE310" s="30"/>
      <c r="AF310" s="30"/>
      <c r="AG310" s="30"/>
      <c r="AH310" s="30"/>
      <c r="AI310" s="30"/>
      <c r="AJ310" s="30"/>
      <c r="AK310" s="30"/>
      <c r="AL310" s="30"/>
      <c r="AM310" s="30"/>
      <c r="AN310" s="30"/>
      <c r="AO310" s="30"/>
    </row>
    <row r="311" spans="1:41" s="39" customFormat="1" ht="23.25" customHeight="1">
      <c r="A311" s="32"/>
      <c r="B311" s="137"/>
      <c r="C311" s="21" t="s">
        <v>12</v>
      </c>
      <c r="D311" s="33"/>
      <c r="E311" s="23"/>
      <c r="F311" s="24">
        <f>SUM(F309:F310)</f>
        <v>72</v>
      </c>
      <c r="G311" s="24">
        <f>SUM(G309:G310)</f>
        <v>15</v>
      </c>
      <c r="H311" s="24">
        <f>SUM(H309:H310)</f>
        <v>0</v>
      </c>
      <c r="I311" s="40">
        <f>SUM(F311:H311)</f>
        <v>87</v>
      </c>
      <c r="J311" s="24">
        <f aca="true" t="shared" si="90" ref="J311:O311">SUM(J309:J310)</f>
        <v>28</v>
      </c>
      <c r="K311" s="24">
        <f t="shared" si="90"/>
        <v>6</v>
      </c>
      <c r="L311" s="24">
        <f t="shared" si="90"/>
        <v>9</v>
      </c>
      <c r="M311" s="24">
        <f t="shared" si="90"/>
        <v>2</v>
      </c>
      <c r="N311" s="24">
        <f t="shared" si="90"/>
        <v>0</v>
      </c>
      <c r="O311" s="24">
        <f t="shared" si="90"/>
        <v>27</v>
      </c>
      <c r="P311" s="24">
        <f>SUM(J311:O311)</f>
        <v>72</v>
      </c>
      <c r="Q311" s="24">
        <f>SUM(Q309:Q310)</f>
        <v>14</v>
      </c>
      <c r="R311" s="24">
        <f>SUM(R309:R310)</f>
        <v>1</v>
      </c>
      <c r="S311" s="24">
        <f>SUM(S309:S310)</f>
        <v>0</v>
      </c>
      <c r="T311" s="24">
        <f>SUM(T309:T310)</f>
        <v>0</v>
      </c>
      <c r="U311" s="24">
        <f>SUM(U309:U310)</f>
        <v>145</v>
      </c>
      <c r="V311" s="26">
        <f>IF(I311-Q311=0,"",IF(D311="",(P311+S311)/(I311-Q311),IF(AND(D311&lt;&gt;"",(P311+S311)/(I311-Q311)&gt;=50%),(P311+S311)/(I311-Q311),"")))</f>
        <v>0.9863013698630136</v>
      </c>
      <c r="W311" s="26">
        <f>IF(I311=O311,"",IF(V311="",0,(P311+Q311+S311-O311)/(I311-O311)))</f>
        <v>0.9833333333333333</v>
      </c>
      <c r="X311" s="30"/>
      <c r="Y311" s="30"/>
      <c r="Z311" s="30"/>
      <c r="AA311" s="30"/>
      <c r="AB311" s="34"/>
      <c r="AC311" s="30"/>
      <c r="AD311" s="30"/>
      <c r="AE311" s="30"/>
      <c r="AF311" s="30"/>
      <c r="AG311" s="30"/>
      <c r="AH311" s="30"/>
      <c r="AI311" s="30"/>
      <c r="AJ311" s="30"/>
      <c r="AK311" s="30"/>
      <c r="AL311" s="30"/>
      <c r="AM311" s="30"/>
      <c r="AN311" s="30"/>
      <c r="AO311" s="30"/>
    </row>
    <row r="312" spans="1:41" s="39" customFormat="1" ht="23.25" customHeight="1">
      <c r="A312" s="32"/>
      <c r="B312" s="137" t="s">
        <v>98</v>
      </c>
      <c r="C312" s="14" t="s">
        <v>154</v>
      </c>
      <c r="D312" s="29" t="s">
        <v>229</v>
      </c>
      <c r="E312" s="16" t="s">
        <v>230</v>
      </c>
      <c r="F312" s="15"/>
      <c r="G312" s="15"/>
      <c r="H312" s="15"/>
      <c r="I312" s="17"/>
      <c r="J312" s="15"/>
      <c r="K312" s="15"/>
      <c r="L312" s="15"/>
      <c r="M312" s="15"/>
      <c r="N312" s="15"/>
      <c r="O312" s="15"/>
      <c r="P312" s="15"/>
      <c r="Q312" s="15"/>
      <c r="R312" s="15"/>
      <c r="S312" s="15"/>
      <c r="T312" s="15"/>
      <c r="U312" s="15"/>
      <c r="V312" s="18"/>
      <c r="W312" s="18"/>
      <c r="X312" s="30"/>
      <c r="Y312" s="30"/>
      <c r="Z312" s="30"/>
      <c r="AA312" s="30"/>
      <c r="AB312" s="34"/>
      <c r="AC312" s="30"/>
      <c r="AD312" s="30"/>
      <c r="AE312" s="30"/>
      <c r="AF312" s="30"/>
      <c r="AG312" s="30"/>
      <c r="AH312" s="30"/>
      <c r="AI312" s="30"/>
      <c r="AJ312" s="30"/>
      <c r="AK312" s="30"/>
      <c r="AL312" s="30"/>
      <c r="AM312" s="30"/>
      <c r="AN312" s="30"/>
      <c r="AO312" s="30"/>
    </row>
    <row r="313" spans="1:41" s="39" customFormat="1" ht="18.75" customHeight="1">
      <c r="A313" s="32">
        <v>39</v>
      </c>
      <c r="B313" s="137"/>
      <c r="C313" s="20" t="str">
        <f>IF(A313="","VARA",VLOOKUP(A313,'[1]varas'!$A$4:$B$67,2))</f>
        <v>2ª VT Olinda</v>
      </c>
      <c r="D313" s="15"/>
      <c r="E313" s="16"/>
      <c r="F313" s="15">
        <v>0</v>
      </c>
      <c r="G313" s="15">
        <v>16</v>
      </c>
      <c r="H313" s="15">
        <v>1</v>
      </c>
      <c r="I313" s="17">
        <f>SUM(F313:H313)</f>
        <v>17</v>
      </c>
      <c r="J313" s="15">
        <v>0</v>
      </c>
      <c r="K313" s="15">
        <v>0</v>
      </c>
      <c r="L313" s="15">
        <v>0</v>
      </c>
      <c r="M313" s="15">
        <v>0</v>
      </c>
      <c r="N313" s="15">
        <v>0</v>
      </c>
      <c r="O313" s="15">
        <v>0</v>
      </c>
      <c r="P313" s="15">
        <f>SUM(J313:O313)</f>
        <v>0</v>
      </c>
      <c r="Q313" s="15">
        <v>0</v>
      </c>
      <c r="R313" s="15">
        <v>17</v>
      </c>
      <c r="S313" s="15">
        <v>0</v>
      </c>
      <c r="T313" s="15">
        <v>0</v>
      </c>
      <c r="U313" s="15">
        <v>0</v>
      </c>
      <c r="V313" s="18"/>
      <c r="W313" s="18"/>
      <c r="X313" s="30"/>
      <c r="Y313" s="30"/>
      <c r="Z313" s="30"/>
      <c r="AA313" s="30"/>
      <c r="AB313" s="34"/>
      <c r="AC313" s="30"/>
      <c r="AD313" s="30"/>
      <c r="AE313" s="30"/>
      <c r="AF313" s="30"/>
      <c r="AG313" s="30"/>
      <c r="AH313" s="30"/>
      <c r="AI313" s="30"/>
      <c r="AJ313" s="30"/>
      <c r="AK313" s="30"/>
      <c r="AL313" s="30"/>
      <c r="AM313" s="30"/>
      <c r="AN313" s="30"/>
      <c r="AO313" s="30"/>
    </row>
    <row r="314" spans="1:41" s="53" customFormat="1" ht="21" customHeight="1">
      <c r="A314" s="47"/>
      <c r="B314" s="131"/>
      <c r="C314" s="21" t="s">
        <v>12</v>
      </c>
      <c r="D314" s="51"/>
      <c r="E314" s="52"/>
      <c r="F314" s="24">
        <f>SUM(F312:F313)</f>
        <v>0</v>
      </c>
      <c r="G314" s="24">
        <f>SUM(G312:G313)</f>
        <v>16</v>
      </c>
      <c r="H314" s="24">
        <f>SUM(H312:H313)</f>
        <v>1</v>
      </c>
      <c r="I314" s="25">
        <f>SUM(F314:H314)</f>
        <v>17</v>
      </c>
      <c r="J314" s="24">
        <f aca="true" t="shared" si="91" ref="J314:O314">SUM(J312:J313)</f>
        <v>0</v>
      </c>
      <c r="K314" s="24">
        <f t="shared" si="91"/>
        <v>0</v>
      </c>
      <c r="L314" s="24">
        <f t="shared" si="91"/>
        <v>0</v>
      </c>
      <c r="M314" s="24">
        <f t="shared" si="91"/>
        <v>0</v>
      </c>
      <c r="N314" s="24">
        <f t="shared" si="91"/>
        <v>0</v>
      </c>
      <c r="O314" s="24">
        <f t="shared" si="91"/>
        <v>0</v>
      </c>
      <c r="P314" s="24">
        <f>SUM(J314:O314)</f>
        <v>0</v>
      </c>
      <c r="Q314" s="24">
        <f>SUM(Q312:Q313)</f>
        <v>0</v>
      </c>
      <c r="R314" s="24">
        <f>SUM(R312:R313)</f>
        <v>17</v>
      </c>
      <c r="S314" s="24">
        <f>SUM(S312:S313)</f>
        <v>0</v>
      </c>
      <c r="T314" s="24">
        <f>SUM(T312:T313)</f>
        <v>0</v>
      </c>
      <c r="U314" s="24">
        <f>SUM(U312:U313)</f>
        <v>0</v>
      </c>
      <c r="V314" s="26">
        <f>IF(I314-Q314=0,"",IF(D314="",(P314+S314)/(I314-Q314),IF(AND(D314&lt;&gt;"",(P314+S314)/(I314-Q314)&gt;=50%),(P314+S314)/(I314-Q314),"")))</f>
        <v>0</v>
      </c>
      <c r="W314" s="26">
        <f>IF(I314=O314,"",IF(V314="",0,(P314+Q314+S314-O314)/(I314-O314)))</f>
        <v>0</v>
      </c>
      <c r="X314" s="49"/>
      <c r="Y314" s="49"/>
      <c r="Z314" s="49"/>
      <c r="AA314" s="49"/>
      <c r="AB314" s="50"/>
      <c r="AC314" s="49"/>
      <c r="AD314" s="49"/>
      <c r="AE314" s="49"/>
      <c r="AF314" s="49"/>
      <c r="AG314" s="49"/>
      <c r="AH314" s="49"/>
      <c r="AI314" s="49"/>
      <c r="AJ314" s="49"/>
      <c r="AK314" s="49"/>
      <c r="AL314" s="49"/>
      <c r="AM314" s="49"/>
      <c r="AN314" s="49"/>
      <c r="AO314" s="49"/>
    </row>
    <row r="315" spans="1:41" s="39" customFormat="1" ht="20.25" customHeight="1">
      <c r="A315" s="32"/>
      <c r="B315" s="138" t="s">
        <v>99</v>
      </c>
      <c r="C315" s="105" t="s">
        <v>156</v>
      </c>
      <c r="D315" s="15"/>
      <c r="E315" s="16" t="s">
        <v>27</v>
      </c>
      <c r="F315" s="15"/>
      <c r="G315" s="15"/>
      <c r="H315" s="15"/>
      <c r="I315" s="17"/>
      <c r="J315" s="15"/>
      <c r="K315" s="15"/>
      <c r="L315" s="15"/>
      <c r="M315" s="15"/>
      <c r="N315" s="15"/>
      <c r="O315" s="15"/>
      <c r="P315" s="15"/>
      <c r="Q315" s="15"/>
      <c r="R315" s="15"/>
      <c r="S315" s="15"/>
      <c r="T315" s="15"/>
      <c r="U315" s="15"/>
      <c r="V315" s="18"/>
      <c r="W315" s="18"/>
      <c r="X315" s="30"/>
      <c r="Y315" s="30"/>
      <c r="Z315" s="30"/>
      <c r="AA315" s="30"/>
      <c r="AB315" s="34"/>
      <c r="AC315" s="30"/>
      <c r="AD315" s="30"/>
      <c r="AE315" s="30"/>
      <c r="AF315" s="30"/>
      <c r="AG315" s="30"/>
      <c r="AH315" s="30"/>
      <c r="AI315" s="30"/>
      <c r="AJ315" s="30"/>
      <c r="AK315" s="30"/>
      <c r="AL315" s="30"/>
      <c r="AM315" s="30"/>
      <c r="AN315" s="30"/>
      <c r="AO315" s="30"/>
    </row>
    <row r="316" spans="1:41" s="39" customFormat="1" ht="20.25" customHeight="1">
      <c r="A316" s="32">
        <v>19</v>
      </c>
      <c r="B316" s="139"/>
      <c r="C316" s="106" t="str">
        <f>IF(A316="","VARA",VLOOKUP(A316,'[1]varas'!$A$4:$B$67,2))</f>
        <v>19ª VT Recife</v>
      </c>
      <c r="D316" s="15"/>
      <c r="E316" s="16"/>
      <c r="F316" s="15">
        <f>69+28+12+7</f>
        <v>116</v>
      </c>
      <c r="G316" s="15">
        <v>1</v>
      </c>
      <c r="H316" s="15">
        <v>26</v>
      </c>
      <c r="I316" s="17">
        <f>SUM(F316:H316)</f>
        <v>143</v>
      </c>
      <c r="J316" s="15">
        <v>12</v>
      </c>
      <c r="K316" s="15">
        <v>18</v>
      </c>
      <c r="L316" s="15">
        <v>12</v>
      </c>
      <c r="M316" s="15">
        <v>7</v>
      </c>
      <c r="N316" s="15">
        <v>0</v>
      </c>
      <c r="O316" s="15">
        <v>28</v>
      </c>
      <c r="P316" s="15">
        <f>SUM(J316:O316)</f>
        <v>77</v>
      </c>
      <c r="Q316" s="15">
        <v>20</v>
      </c>
      <c r="R316" s="15">
        <v>46</v>
      </c>
      <c r="S316" s="15">
        <v>0</v>
      </c>
      <c r="T316" s="15">
        <v>0</v>
      </c>
      <c r="U316" s="15">
        <v>194</v>
      </c>
      <c r="V316" s="18"/>
      <c r="W316" s="18"/>
      <c r="X316" s="30"/>
      <c r="Y316" s="30"/>
      <c r="Z316" s="30"/>
      <c r="AA316" s="30"/>
      <c r="AB316" s="34"/>
      <c r="AC316" s="30"/>
      <c r="AD316" s="30"/>
      <c r="AE316" s="30"/>
      <c r="AF316" s="30"/>
      <c r="AG316" s="30"/>
      <c r="AH316" s="30"/>
      <c r="AI316" s="30"/>
      <c r="AJ316" s="30"/>
      <c r="AK316" s="30"/>
      <c r="AL316" s="30"/>
      <c r="AM316" s="30"/>
      <c r="AN316" s="30"/>
      <c r="AO316" s="30"/>
    </row>
    <row r="317" spans="1:41" s="39" customFormat="1" ht="24.75" customHeight="1">
      <c r="A317" s="32"/>
      <c r="B317" s="134"/>
      <c r="C317" s="107" t="s">
        <v>12</v>
      </c>
      <c r="D317" s="33"/>
      <c r="E317" s="23"/>
      <c r="F317" s="24">
        <f>SUM(F315:F316)</f>
        <v>116</v>
      </c>
      <c r="G317" s="24">
        <f>SUM(G315:G316)</f>
        <v>1</v>
      </c>
      <c r="H317" s="24">
        <f>SUM(H315:H316)</f>
        <v>26</v>
      </c>
      <c r="I317" s="40">
        <f>SUM(F317:H317)</f>
        <v>143</v>
      </c>
      <c r="J317" s="24">
        <f aca="true" t="shared" si="92" ref="J317:O317">SUM(J315:J316)</f>
        <v>12</v>
      </c>
      <c r="K317" s="24">
        <f t="shared" si="92"/>
        <v>18</v>
      </c>
      <c r="L317" s="24">
        <f t="shared" si="92"/>
        <v>12</v>
      </c>
      <c r="M317" s="24">
        <f t="shared" si="92"/>
        <v>7</v>
      </c>
      <c r="N317" s="24">
        <f t="shared" si="92"/>
        <v>0</v>
      </c>
      <c r="O317" s="24">
        <f t="shared" si="92"/>
        <v>28</v>
      </c>
      <c r="P317" s="24">
        <f>SUM(J317:O317)</f>
        <v>77</v>
      </c>
      <c r="Q317" s="24">
        <f>SUM(Q315:Q316)</f>
        <v>20</v>
      </c>
      <c r="R317" s="24">
        <f>SUM(R315:R316)</f>
        <v>46</v>
      </c>
      <c r="S317" s="24">
        <f>SUM(S315:S316)</f>
        <v>0</v>
      </c>
      <c r="T317" s="24">
        <f>SUM(T315:T316)</f>
        <v>0</v>
      </c>
      <c r="U317" s="24">
        <f>SUM(U315:U316)</f>
        <v>194</v>
      </c>
      <c r="V317" s="26">
        <f>IF(I317-Q317=0,"",IF(D317="",(P317+S317)/(I317-Q317),IF(AND(D317&lt;&gt;"",(P317+S317)/(I317-Q317)&gt;=50%),(P317+S317)/(I317-Q317),"")))</f>
        <v>0.6260162601626016</v>
      </c>
      <c r="W317" s="26">
        <f>IF(I317=O317,"",IF(V317="",0,(P317+Q317+S317-O317)/(I317-O317)))</f>
        <v>0.6</v>
      </c>
      <c r="X317" s="30"/>
      <c r="Y317" s="30"/>
      <c r="Z317" s="30"/>
      <c r="AA317" s="30"/>
      <c r="AB317" s="34"/>
      <c r="AC317" s="30"/>
      <c r="AD317" s="30"/>
      <c r="AE317" s="30"/>
      <c r="AF317" s="30"/>
      <c r="AG317" s="30"/>
      <c r="AH317" s="30"/>
      <c r="AI317" s="30"/>
      <c r="AJ317" s="30"/>
      <c r="AK317" s="30"/>
      <c r="AL317" s="30"/>
      <c r="AM317" s="30"/>
      <c r="AN317" s="30"/>
      <c r="AO317" s="30"/>
    </row>
    <row r="318" spans="1:41" s="39" customFormat="1" ht="27.75" customHeight="1">
      <c r="A318" s="32"/>
      <c r="B318" s="138" t="s">
        <v>100</v>
      </c>
      <c r="C318" s="105" t="s">
        <v>2</v>
      </c>
      <c r="D318" s="29" t="s">
        <v>231</v>
      </c>
      <c r="E318" s="16" t="s">
        <v>232</v>
      </c>
      <c r="F318" s="15"/>
      <c r="G318" s="15"/>
      <c r="H318" s="15"/>
      <c r="I318" s="17"/>
      <c r="J318" s="15"/>
      <c r="K318" s="15"/>
      <c r="L318" s="15"/>
      <c r="M318" s="15"/>
      <c r="N318" s="15"/>
      <c r="O318" s="15"/>
      <c r="P318" s="15"/>
      <c r="Q318" s="15"/>
      <c r="R318" s="15"/>
      <c r="S318" s="15"/>
      <c r="T318" s="15"/>
      <c r="U318" s="15"/>
      <c r="V318" s="18"/>
      <c r="W318" s="18"/>
      <c r="X318" s="30"/>
      <c r="Y318" s="30"/>
      <c r="Z318" s="30"/>
      <c r="AA318" s="30"/>
      <c r="AB318" s="34"/>
      <c r="AC318" s="30"/>
      <c r="AD318" s="30"/>
      <c r="AE318" s="30"/>
      <c r="AF318" s="30"/>
      <c r="AG318" s="30"/>
      <c r="AH318" s="30"/>
      <c r="AI318" s="30"/>
      <c r="AJ318" s="30"/>
      <c r="AK318" s="30"/>
      <c r="AL318" s="30"/>
      <c r="AM318" s="30"/>
      <c r="AN318" s="30"/>
      <c r="AO318" s="30"/>
    </row>
    <row r="319" spans="1:41" s="39" customFormat="1" ht="20.25" customHeight="1">
      <c r="A319" s="32">
        <v>35</v>
      </c>
      <c r="B319" s="139"/>
      <c r="C319" s="106" t="str">
        <f>IF(A319="","VARA",VLOOKUP(A319,'[1]varas'!$A$4:$B$67,2))</f>
        <v>2ª VT Jaboatão</v>
      </c>
      <c r="D319" s="29"/>
      <c r="E319" s="16"/>
      <c r="F319" s="15">
        <f>9+7+5</f>
        <v>21</v>
      </c>
      <c r="G319" s="15">
        <v>0</v>
      </c>
      <c r="H319" s="15">
        <v>0</v>
      </c>
      <c r="I319" s="17">
        <f>SUM(F319:H319)</f>
        <v>21</v>
      </c>
      <c r="J319" s="15">
        <v>9</v>
      </c>
      <c r="K319" s="15">
        <v>0</v>
      </c>
      <c r="L319" s="15">
        <v>3</v>
      </c>
      <c r="M319" s="15">
        <v>2</v>
      </c>
      <c r="N319" s="15">
        <v>0</v>
      </c>
      <c r="O319" s="15">
        <v>7</v>
      </c>
      <c r="P319" s="15">
        <f>SUM(J319:O319)</f>
        <v>21</v>
      </c>
      <c r="Q319" s="15">
        <v>0</v>
      </c>
      <c r="R319" s="15">
        <v>0</v>
      </c>
      <c r="S319" s="15">
        <v>0</v>
      </c>
      <c r="T319" s="15">
        <v>0</v>
      </c>
      <c r="U319" s="15">
        <v>24</v>
      </c>
      <c r="V319" s="18"/>
      <c r="W319" s="18"/>
      <c r="X319" s="30"/>
      <c r="Y319" s="30"/>
      <c r="Z319" s="30"/>
      <c r="AA319" s="30"/>
      <c r="AB319" s="34"/>
      <c r="AC319" s="30"/>
      <c r="AD319" s="30"/>
      <c r="AE319" s="30"/>
      <c r="AF319" s="30"/>
      <c r="AG319" s="30"/>
      <c r="AH319" s="30"/>
      <c r="AI319" s="30"/>
      <c r="AJ319" s="30"/>
      <c r="AK319" s="30"/>
      <c r="AL319" s="30"/>
      <c r="AM319" s="30"/>
      <c r="AN319" s="30"/>
      <c r="AO319" s="30"/>
    </row>
    <row r="320" spans="1:41" s="53" customFormat="1" ht="24.75" customHeight="1">
      <c r="A320" s="47"/>
      <c r="B320" s="134"/>
      <c r="C320" s="107" t="s">
        <v>12</v>
      </c>
      <c r="D320" s="51"/>
      <c r="E320" s="52"/>
      <c r="F320" s="24">
        <f>SUM(F318:F319)</f>
        <v>21</v>
      </c>
      <c r="G320" s="24">
        <f>SUM(G318:G319)</f>
        <v>0</v>
      </c>
      <c r="H320" s="24">
        <f>SUM(H318:H319)</f>
        <v>0</v>
      </c>
      <c r="I320" s="25">
        <f>SUM(F320:H320)</f>
        <v>21</v>
      </c>
      <c r="J320" s="24">
        <f aca="true" t="shared" si="93" ref="J320:O320">SUM(J318:J319)</f>
        <v>9</v>
      </c>
      <c r="K320" s="24">
        <f t="shared" si="93"/>
        <v>0</v>
      </c>
      <c r="L320" s="24">
        <f t="shared" si="93"/>
        <v>3</v>
      </c>
      <c r="M320" s="24">
        <f t="shared" si="93"/>
        <v>2</v>
      </c>
      <c r="N320" s="24">
        <f t="shared" si="93"/>
        <v>0</v>
      </c>
      <c r="O320" s="24">
        <f t="shared" si="93"/>
        <v>7</v>
      </c>
      <c r="P320" s="24">
        <f>SUM(J320:O320)</f>
        <v>21</v>
      </c>
      <c r="Q320" s="24">
        <f>SUM(Q318:Q319)</f>
        <v>0</v>
      </c>
      <c r="R320" s="24">
        <f>SUM(R318:R319)</f>
        <v>0</v>
      </c>
      <c r="S320" s="24">
        <f>SUM(S318:S319)</f>
        <v>0</v>
      </c>
      <c r="T320" s="24">
        <f>SUM(T318:T319)</f>
        <v>0</v>
      </c>
      <c r="U320" s="24">
        <f>SUM(U318:U319)</f>
        <v>24</v>
      </c>
      <c r="V320" s="26">
        <f>IF(I320-Q320=0,"",IF(D320="",(P320+S320)/(I320-Q320),IF(AND(D320&lt;&gt;"",(P320+S320)/(I320-Q320)&gt;=50%),(P320+S320)/(I320-Q320),"")))</f>
        <v>1</v>
      </c>
      <c r="W320" s="26">
        <f>IF(I320=O320,"",IF(V320="",0,(P320+Q320+S320-O320)/(I320-O320)))</f>
        <v>1</v>
      </c>
      <c r="X320" s="49"/>
      <c r="Y320" s="49"/>
      <c r="Z320" s="49"/>
      <c r="AA320" s="49"/>
      <c r="AB320" s="50"/>
      <c r="AC320" s="49"/>
      <c r="AD320" s="49"/>
      <c r="AE320" s="49"/>
      <c r="AF320" s="49"/>
      <c r="AG320" s="49"/>
      <c r="AH320" s="49"/>
      <c r="AI320" s="49"/>
      <c r="AJ320" s="49"/>
      <c r="AK320" s="49"/>
      <c r="AL320" s="49"/>
      <c r="AM320" s="49"/>
      <c r="AN320" s="49"/>
      <c r="AO320" s="49"/>
    </row>
    <row r="321" spans="1:41" s="39" customFormat="1" ht="24" customHeight="1">
      <c r="A321" s="32"/>
      <c r="B321" s="130" t="s">
        <v>101</v>
      </c>
      <c r="C321" s="14" t="s">
        <v>2</v>
      </c>
      <c r="D321" s="15" t="s">
        <v>191</v>
      </c>
      <c r="E321" s="16" t="s">
        <v>233</v>
      </c>
      <c r="F321" s="15"/>
      <c r="G321" s="15"/>
      <c r="H321" s="15"/>
      <c r="I321" s="17"/>
      <c r="J321" s="15"/>
      <c r="K321" s="15"/>
      <c r="L321" s="15"/>
      <c r="M321" s="15"/>
      <c r="N321" s="15"/>
      <c r="O321" s="15"/>
      <c r="P321" s="15"/>
      <c r="Q321" s="15"/>
      <c r="R321" s="15"/>
      <c r="S321" s="15"/>
      <c r="T321" s="15"/>
      <c r="U321" s="15"/>
      <c r="V321" s="18"/>
      <c r="W321" s="18"/>
      <c r="X321" s="30"/>
      <c r="Y321" s="30"/>
      <c r="Z321" s="30"/>
      <c r="AA321" s="30"/>
      <c r="AB321" s="34"/>
      <c r="AC321" s="30"/>
      <c r="AD321" s="30"/>
      <c r="AE321" s="30"/>
      <c r="AF321" s="30"/>
      <c r="AG321" s="30"/>
      <c r="AH321" s="30"/>
      <c r="AI321" s="30"/>
      <c r="AJ321" s="30"/>
      <c r="AK321" s="30"/>
      <c r="AL321" s="30"/>
      <c r="AM321" s="30"/>
      <c r="AN321" s="30"/>
      <c r="AO321" s="30"/>
    </row>
    <row r="322" spans="1:41" s="39" customFormat="1" ht="24" customHeight="1">
      <c r="A322" s="32">
        <v>36</v>
      </c>
      <c r="B322" s="137"/>
      <c r="C322" s="20" t="str">
        <f>IF(A322="","VARA",VLOOKUP(A322,'[1]varas'!$A$4:$B$67,2))</f>
        <v>3ª VT Jaboatão</v>
      </c>
      <c r="D322" s="15"/>
      <c r="E322" s="16"/>
      <c r="F322" s="15">
        <f>17+16+2</f>
        <v>35</v>
      </c>
      <c r="G322" s="15">
        <v>2</v>
      </c>
      <c r="H322" s="15">
        <v>9</v>
      </c>
      <c r="I322" s="17">
        <f>SUM(F322:H322)</f>
        <v>46</v>
      </c>
      <c r="J322" s="15">
        <v>6</v>
      </c>
      <c r="K322" s="15">
        <v>3</v>
      </c>
      <c r="L322" s="15">
        <v>0</v>
      </c>
      <c r="M322" s="15">
        <v>2</v>
      </c>
      <c r="N322" s="15">
        <v>0</v>
      </c>
      <c r="O322" s="15">
        <v>16</v>
      </c>
      <c r="P322" s="15">
        <f>SUM(J322:O322)</f>
        <v>27</v>
      </c>
      <c r="Q322" s="15">
        <v>3</v>
      </c>
      <c r="R322" s="15">
        <v>16</v>
      </c>
      <c r="S322" s="15">
        <v>0</v>
      </c>
      <c r="T322" s="15">
        <v>0</v>
      </c>
      <c r="U322" s="15">
        <v>73</v>
      </c>
      <c r="V322" s="18"/>
      <c r="W322" s="18"/>
      <c r="X322" s="30"/>
      <c r="Y322" s="30"/>
      <c r="Z322" s="30"/>
      <c r="AA322" s="30"/>
      <c r="AB322" s="34"/>
      <c r="AC322" s="30"/>
      <c r="AD322" s="30"/>
      <c r="AE322" s="30"/>
      <c r="AF322" s="30"/>
      <c r="AG322" s="30"/>
      <c r="AH322" s="30"/>
      <c r="AI322" s="30"/>
      <c r="AJ322" s="30"/>
      <c r="AK322" s="30"/>
      <c r="AL322" s="30"/>
      <c r="AM322" s="30"/>
      <c r="AN322" s="30"/>
      <c r="AO322" s="30"/>
    </row>
    <row r="323" spans="1:41" s="39" customFormat="1" ht="19.5" customHeight="1">
      <c r="A323" s="32"/>
      <c r="B323" s="131"/>
      <c r="C323" s="21" t="s">
        <v>12</v>
      </c>
      <c r="D323" s="33"/>
      <c r="E323" s="23"/>
      <c r="F323" s="24">
        <f>SUM(F321:F322)</f>
        <v>35</v>
      </c>
      <c r="G323" s="24">
        <f>SUM(G321:G322)</f>
        <v>2</v>
      </c>
      <c r="H323" s="24">
        <f>SUM(H321:H322)</f>
        <v>9</v>
      </c>
      <c r="I323" s="40">
        <f>SUM(F323:H323)</f>
        <v>46</v>
      </c>
      <c r="J323" s="24">
        <f aca="true" t="shared" si="94" ref="J323:O323">SUM(J321:J322)</f>
        <v>6</v>
      </c>
      <c r="K323" s="24">
        <f t="shared" si="94"/>
        <v>3</v>
      </c>
      <c r="L323" s="24">
        <f t="shared" si="94"/>
        <v>0</v>
      </c>
      <c r="M323" s="24">
        <f t="shared" si="94"/>
        <v>2</v>
      </c>
      <c r="N323" s="24">
        <f t="shared" si="94"/>
        <v>0</v>
      </c>
      <c r="O323" s="24">
        <f t="shared" si="94"/>
        <v>16</v>
      </c>
      <c r="P323" s="24">
        <f>SUM(J323:O323)</f>
        <v>27</v>
      </c>
      <c r="Q323" s="24">
        <f>SUM(Q321:Q322)</f>
        <v>3</v>
      </c>
      <c r="R323" s="24">
        <f>SUM(R321:R322)</f>
        <v>16</v>
      </c>
      <c r="S323" s="24">
        <f>SUM(S321:S322)</f>
        <v>0</v>
      </c>
      <c r="T323" s="24">
        <f>SUM(T321:T322)</f>
        <v>0</v>
      </c>
      <c r="U323" s="24">
        <f>SUM(U321:U322)</f>
        <v>73</v>
      </c>
      <c r="V323" s="26">
        <f>IF(I323-Q323=0,"",IF(D323="",(P323+S323)/(I323-Q323),IF(AND(D323&lt;&gt;"",(P323+S323)/(I323-Q323)&gt;=50%),(P323+S323)/(I323-Q323),"")))</f>
        <v>0.627906976744186</v>
      </c>
      <c r="W323" s="26">
        <f>IF(I323=O323,"",IF(V323="",0,(P323+Q323+S323-O323)/(I323-O323)))</f>
        <v>0.4666666666666667</v>
      </c>
      <c r="X323" s="30"/>
      <c r="Y323" s="30"/>
      <c r="Z323" s="30"/>
      <c r="AA323" s="30"/>
      <c r="AB323" s="34"/>
      <c r="AC323" s="30"/>
      <c r="AD323" s="30"/>
      <c r="AE323" s="30"/>
      <c r="AF323" s="30"/>
      <c r="AG323" s="30"/>
      <c r="AH323" s="30"/>
      <c r="AI323" s="30"/>
      <c r="AJ323" s="30"/>
      <c r="AK323" s="30"/>
      <c r="AL323" s="30"/>
      <c r="AM323" s="30"/>
      <c r="AN323" s="30"/>
      <c r="AO323" s="30"/>
    </row>
    <row r="324" spans="1:41" s="39" customFormat="1" ht="22.5" customHeight="1">
      <c r="A324" s="32"/>
      <c r="B324" s="138" t="s">
        <v>102</v>
      </c>
      <c r="C324" s="105" t="s">
        <v>2</v>
      </c>
      <c r="D324" s="29" t="s">
        <v>194</v>
      </c>
      <c r="E324" s="16" t="s">
        <v>234</v>
      </c>
      <c r="F324" s="15"/>
      <c r="G324" s="15"/>
      <c r="H324" s="15"/>
      <c r="I324" s="17"/>
      <c r="J324" s="15"/>
      <c r="K324" s="15"/>
      <c r="L324" s="15"/>
      <c r="M324" s="15"/>
      <c r="N324" s="15"/>
      <c r="O324" s="15"/>
      <c r="P324" s="15"/>
      <c r="Q324" s="15"/>
      <c r="R324" s="15"/>
      <c r="S324" s="15"/>
      <c r="T324" s="15"/>
      <c r="U324" s="15"/>
      <c r="V324" s="18"/>
      <c r="W324" s="18"/>
      <c r="X324" s="30"/>
      <c r="Y324" s="30"/>
      <c r="Z324" s="30"/>
      <c r="AA324" s="30"/>
      <c r="AB324" s="34"/>
      <c r="AC324" s="30"/>
      <c r="AD324" s="30"/>
      <c r="AE324" s="30"/>
      <c r="AF324" s="30"/>
      <c r="AG324" s="30"/>
      <c r="AH324" s="30"/>
      <c r="AI324" s="30"/>
      <c r="AJ324" s="30"/>
      <c r="AK324" s="30"/>
      <c r="AL324" s="30"/>
      <c r="AM324" s="30"/>
      <c r="AN324" s="30"/>
      <c r="AO324" s="30"/>
    </row>
    <row r="325" spans="1:41" s="39" customFormat="1" ht="21" customHeight="1">
      <c r="A325" s="32">
        <v>6</v>
      </c>
      <c r="B325" s="139"/>
      <c r="C325" s="106" t="str">
        <f>IF(A325="","VARA",VLOOKUP(A325,'[1]varas'!$A$4:$B$67,2))</f>
        <v>6ª VT Recife</v>
      </c>
      <c r="D325" s="15"/>
      <c r="E325" s="16"/>
      <c r="F325" s="15">
        <v>0</v>
      </c>
      <c r="G325" s="15">
        <v>0</v>
      </c>
      <c r="H325" s="15">
        <v>0</v>
      </c>
      <c r="I325" s="17">
        <f>SUM(F325:H325)</f>
        <v>0</v>
      </c>
      <c r="J325" s="15">
        <v>0</v>
      </c>
      <c r="K325" s="15">
        <v>0</v>
      </c>
      <c r="L325" s="15">
        <v>0</v>
      </c>
      <c r="M325" s="15">
        <v>0</v>
      </c>
      <c r="N325" s="15">
        <v>0</v>
      </c>
      <c r="O325" s="15">
        <v>0</v>
      </c>
      <c r="P325" s="15">
        <f>SUM(J325:O325)</f>
        <v>0</v>
      </c>
      <c r="Q325" s="15">
        <v>0</v>
      </c>
      <c r="R325" s="15">
        <v>0</v>
      </c>
      <c r="S325" s="15">
        <v>0</v>
      </c>
      <c r="T325" s="15">
        <v>0</v>
      </c>
      <c r="U325" s="15">
        <v>0</v>
      </c>
      <c r="V325" s="18"/>
      <c r="W325" s="18"/>
      <c r="X325" s="30"/>
      <c r="Y325" s="30"/>
      <c r="Z325" s="30"/>
      <c r="AA325" s="30"/>
      <c r="AB325" s="34"/>
      <c r="AC325" s="30"/>
      <c r="AD325" s="30"/>
      <c r="AE325" s="30"/>
      <c r="AF325" s="30"/>
      <c r="AG325" s="30"/>
      <c r="AH325" s="30"/>
      <c r="AI325" s="30"/>
      <c r="AJ325" s="30"/>
      <c r="AK325" s="30"/>
      <c r="AL325" s="30"/>
      <c r="AM325" s="30"/>
      <c r="AN325" s="30"/>
      <c r="AO325" s="30"/>
    </row>
    <row r="326" spans="1:41" s="53" customFormat="1" ht="25.5" customHeight="1">
      <c r="A326" s="47"/>
      <c r="B326" s="134"/>
      <c r="C326" s="107" t="s">
        <v>12</v>
      </c>
      <c r="D326" s="51"/>
      <c r="E326" s="52"/>
      <c r="F326" s="24">
        <f>SUM(F324:F325)</f>
        <v>0</v>
      </c>
      <c r="G326" s="24">
        <f>SUM(G324:G325)</f>
        <v>0</v>
      </c>
      <c r="H326" s="24">
        <f>SUM(H324:H325)</f>
        <v>0</v>
      </c>
      <c r="I326" s="25">
        <f>SUM(F326:H326)</f>
        <v>0</v>
      </c>
      <c r="J326" s="24">
        <f aca="true" t="shared" si="95" ref="J326:O326">SUM(J324:J325)</f>
        <v>0</v>
      </c>
      <c r="K326" s="24">
        <f t="shared" si="95"/>
        <v>0</v>
      </c>
      <c r="L326" s="24">
        <f t="shared" si="95"/>
        <v>0</v>
      </c>
      <c r="M326" s="24">
        <f t="shared" si="95"/>
        <v>0</v>
      </c>
      <c r="N326" s="24">
        <f t="shared" si="95"/>
        <v>0</v>
      </c>
      <c r="O326" s="24">
        <f t="shared" si="95"/>
        <v>0</v>
      </c>
      <c r="P326" s="24">
        <f>SUM(J326:O326)</f>
        <v>0</v>
      </c>
      <c r="Q326" s="24">
        <f>SUM(Q324:Q325)</f>
        <v>0</v>
      </c>
      <c r="R326" s="24">
        <f>SUM(R324:R325)</f>
        <v>0</v>
      </c>
      <c r="S326" s="24">
        <f>SUM(S324:S325)</f>
        <v>0</v>
      </c>
      <c r="T326" s="24">
        <f>SUM(T324:T325)</f>
        <v>0</v>
      </c>
      <c r="U326" s="24">
        <f>SUM(U324:U325)</f>
        <v>0</v>
      </c>
      <c r="V326" s="26">
        <f>IF(I326-Q326=0,"",IF(D326="",(P326+S326)/(I326-Q326),IF(AND(D326&lt;&gt;"",(P326+S326)/(I326-Q326)&gt;=50%),(P326+S326)/(I326-Q326),"")))</f>
      </c>
      <c r="W326" s="26">
        <f>IF(I326=O326,"",IF(V326="",0,(P326+Q326+S326-O326)/(I326-O326)))</f>
      </c>
      <c r="X326" s="49"/>
      <c r="Y326" s="49"/>
      <c r="Z326" s="49"/>
      <c r="AA326" s="49"/>
      <c r="AB326" s="50"/>
      <c r="AC326" s="49"/>
      <c r="AD326" s="49"/>
      <c r="AE326" s="49"/>
      <c r="AF326" s="49"/>
      <c r="AG326" s="49"/>
      <c r="AH326" s="49"/>
      <c r="AI326" s="49"/>
      <c r="AJ326" s="49"/>
      <c r="AK326" s="49"/>
      <c r="AL326" s="49"/>
      <c r="AM326" s="49"/>
      <c r="AN326" s="49"/>
      <c r="AO326" s="49"/>
    </row>
    <row r="327" spans="1:41" s="39" customFormat="1" ht="22.5" customHeight="1">
      <c r="A327" s="32"/>
      <c r="B327" s="138" t="s">
        <v>103</v>
      </c>
      <c r="C327" s="105" t="s">
        <v>154</v>
      </c>
      <c r="D327" s="29" t="s">
        <v>30</v>
      </c>
      <c r="E327" s="16" t="s">
        <v>201</v>
      </c>
      <c r="F327" s="15"/>
      <c r="G327" s="15"/>
      <c r="H327" s="15"/>
      <c r="I327" s="17"/>
      <c r="J327" s="15"/>
      <c r="K327" s="15"/>
      <c r="L327" s="15"/>
      <c r="M327" s="15"/>
      <c r="N327" s="15"/>
      <c r="O327" s="15"/>
      <c r="P327" s="15"/>
      <c r="Q327" s="15"/>
      <c r="R327" s="15"/>
      <c r="S327" s="15"/>
      <c r="T327" s="15"/>
      <c r="U327" s="15"/>
      <c r="V327" s="18"/>
      <c r="W327" s="18"/>
      <c r="X327" s="30"/>
      <c r="Y327" s="30"/>
      <c r="Z327" s="30"/>
      <c r="AA327" s="30"/>
      <c r="AB327" s="34"/>
      <c r="AC327" s="30"/>
      <c r="AD327" s="30"/>
      <c r="AE327" s="30"/>
      <c r="AF327" s="30"/>
      <c r="AG327" s="30"/>
      <c r="AH327" s="30"/>
      <c r="AI327" s="30"/>
      <c r="AJ327" s="30"/>
      <c r="AK327" s="30"/>
      <c r="AL327" s="30"/>
      <c r="AM327" s="30"/>
      <c r="AN327" s="30"/>
      <c r="AO327" s="30"/>
    </row>
    <row r="328" spans="1:41" s="39" customFormat="1" ht="18.75" customHeight="1">
      <c r="A328" s="32">
        <v>15</v>
      </c>
      <c r="B328" s="139"/>
      <c r="C328" s="106" t="str">
        <f>IF(A328="","VARA",VLOOKUP(A328,'[1]varas'!$A$4:$B$67,2))</f>
        <v>15ª VT Recife</v>
      </c>
      <c r="D328" s="29"/>
      <c r="E328" s="16"/>
      <c r="F328" s="15">
        <v>0</v>
      </c>
      <c r="G328" s="15">
        <v>0</v>
      </c>
      <c r="H328" s="15">
        <v>3</v>
      </c>
      <c r="I328" s="17">
        <f>SUM(F328:H328)</f>
        <v>3</v>
      </c>
      <c r="J328" s="15">
        <v>2</v>
      </c>
      <c r="K328" s="15">
        <v>0</v>
      </c>
      <c r="L328" s="15">
        <v>0</v>
      </c>
      <c r="M328" s="15">
        <v>0</v>
      </c>
      <c r="N328" s="15">
        <v>0</v>
      </c>
      <c r="O328" s="15">
        <v>0</v>
      </c>
      <c r="P328" s="15">
        <f>SUM(J328:O328)</f>
        <v>2</v>
      </c>
      <c r="Q328" s="15">
        <v>0</v>
      </c>
      <c r="R328" s="15">
        <v>1</v>
      </c>
      <c r="S328" s="15">
        <v>0</v>
      </c>
      <c r="T328" s="15">
        <v>0</v>
      </c>
      <c r="U328" s="15">
        <v>0</v>
      </c>
      <c r="V328" s="18"/>
      <c r="W328" s="18"/>
      <c r="X328" s="30"/>
      <c r="Y328" s="30"/>
      <c r="Z328" s="30"/>
      <c r="AA328" s="30"/>
      <c r="AB328" s="34"/>
      <c r="AC328" s="30"/>
      <c r="AD328" s="30"/>
      <c r="AE328" s="30"/>
      <c r="AF328" s="30"/>
      <c r="AG328" s="30"/>
      <c r="AH328" s="30"/>
      <c r="AI328" s="30"/>
      <c r="AJ328" s="30"/>
      <c r="AK328" s="30"/>
      <c r="AL328" s="30"/>
      <c r="AM328" s="30"/>
      <c r="AN328" s="30"/>
      <c r="AO328" s="30"/>
    </row>
    <row r="329" spans="1:41" s="39" customFormat="1" ht="21.75" customHeight="1">
      <c r="A329" s="32">
        <v>23</v>
      </c>
      <c r="B329" s="139"/>
      <c r="C329" s="106" t="str">
        <f>IF(A329="","VARA",VLOOKUP(A329,'[1]varas'!$A$4:$B$67,2))</f>
        <v>23ª VT Recife</v>
      </c>
      <c r="D329" s="29"/>
      <c r="E329" s="16"/>
      <c r="F329" s="15">
        <f>22+10+5</f>
        <v>37</v>
      </c>
      <c r="G329" s="15">
        <v>10</v>
      </c>
      <c r="H329" s="15">
        <v>37</v>
      </c>
      <c r="I329" s="17">
        <f>SUM(F329:H329)</f>
        <v>84</v>
      </c>
      <c r="J329" s="15">
        <v>40</v>
      </c>
      <c r="K329" s="15">
        <v>10</v>
      </c>
      <c r="L329" s="15">
        <v>5</v>
      </c>
      <c r="M329" s="15">
        <v>0</v>
      </c>
      <c r="N329" s="15">
        <v>0</v>
      </c>
      <c r="O329" s="15">
        <v>10</v>
      </c>
      <c r="P329" s="15">
        <f>SUM(J329:O329)</f>
        <v>65</v>
      </c>
      <c r="Q329" s="15">
        <v>4</v>
      </c>
      <c r="R329" s="15">
        <v>15</v>
      </c>
      <c r="S329" s="15">
        <v>0</v>
      </c>
      <c r="T329" s="15">
        <v>0</v>
      </c>
      <c r="U329" s="15">
        <v>73</v>
      </c>
      <c r="V329" s="18"/>
      <c r="W329" s="18"/>
      <c r="X329" s="30"/>
      <c r="Y329" s="30"/>
      <c r="Z329" s="30"/>
      <c r="AA329" s="30"/>
      <c r="AB329" s="34"/>
      <c r="AC329" s="30"/>
      <c r="AD329" s="30"/>
      <c r="AE329" s="30"/>
      <c r="AF329" s="30"/>
      <c r="AG329" s="30"/>
      <c r="AH329" s="30"/>
      <c r="AI329" s="30"/>
      <c r="AJ329" s="30"/>
      <c r="AK329" s="30"/>
      <c r="AL329" s="30"/>
      <c r="AM329" s="30"/>
      <c r="AN329" s="30"/>
      <c r="AO329" s="30"/>
    </row>
    <row r="330" spans="1:41" s="53" customFormat="1" ht="19.5" customHeight="1">
      <c r="A330" s="47"/>
      <c r="B330" s="134"/>
      <c r="C330" s="106" t="s">
        <v>12</v>
      </c>
      <c r="D330" s="24"/>
      <c r="E330" s="48"/>
      <c r="F330" s="24">
        <f>SUM(F327:F329)</f>
        <v>37</v>
      </c>
      <c r="G330" s="24">
        <f>SUM(G327:G329)</f>
        <v>10</v>
      </c>
      <c r="H330" s="24">
        <f>SUM(H327:H329)</f>
        <v>40</v>
      </c>
      <c r="I330" s="40">
        <f>SUM(F330:H330)</f>
        <v>87</v>
      </c>
      <c r="J330" s="24">
        <f aca="true" t="shared" si="96" ref="J330:O330">SUM(J327:J329)</f>
        <v>42</v>
      </c>
      <c r="K330" s="24">
        <f t="shared" si="96"/>
        <v>10</v>
      </c>
      <c r="L330" s="24">
        <f t="shared" si="96"/>
        <v>5</v>
      </c>
      <c r="M330" s="24">
        <f t="shared" si="96"/>
        <v>0</v>
      </c>
      <c r="N330" s="24">
        <f t="shared" si="96"/>
        <v>0</v>
      </c>
      <c r="O330" s="24">
        <f t="shared" si="96"/>
        <v>10</v>
      </c>
      <c r="P330" s="24">
        <f>SUM(J330:O330)</f>
        <v>67</v>
      </c>
      <c r="Q330" s="24">
        <f>SUM(Q327:Q329)</f>
        <v>4</v>
      </c>
      <c r="R330" s="24">
        <f>SUM(R327:R329)</f>
        <v>16</v>
      </c>
      <c r="S330" s="24">
        <f>SUM(S327:S329)</f>
        <v>0</v>
      </c>
      <c r="T330" s="24">
        <f>SUM(T327:T329)</f>
        <v>0</v>
      </c>
      <c r="U330" s="24">
        <f>SUM(U327:U329)</f>
        <v>73</v>
      </c>
      <c r="V330" s="26">
        <f>IF(I330-Q330=0,"",IF(D330="",(P330+S330)/(I330-Q330),IF(AND(D330&lt;&gt;"",(P330+S330)/(I330-Q330)&gt;=50%),(P330+S330)/(I330-Q330),"")))</f>
        <v>0.8072289156626506</v>
      </c>
      <c r="W330" s="26">
        <f>IF(I330=O330,"",IF(V330="",0,(P330+Q330+S330-O330)/(I330-O330)))</f>
        <v>0.7922077922077922</v>
      </c>
      <c r="X330" s="49"/>
      <c r="Y330" s="49"/>
      <c r="Z330" s="49"/>
      <c r="AA330" s="49"/>
      <c r="AB330" s="50"/>
      <c r="AC330" s="49"/>
      <c r="AD330" s="49"/>
      <c r="AE330" s="49"/>
      <c r="AF330" s="49"/>
      <c r="AG330" s="49"/>
      <c r="AH330" s="49"/>
      <c r="AI330" s="49"/>
      <c r="AJ330" s="49"/>
      <c r="AK330" s="49"/>
      <c r="AL330" s="49"/>
      <c r="AM330" s="49"/>
      <c r="AN330" s="49"/>
      <c r="AO330" s="49"/>
    </row>
    <row r="331" spans="1:41" s="39" customFormat="1" ht="26.25" customHeight="1">
      <c r="A331" s="32"/>
      <c r="B331" s="138" t="s">
        <v>104</v>
      </c>
      <c r="C331" s="105" t="s">
        <v>2</v>
      </c>
      <c r="D331" s="29" t="s">
        <v>235</v>
      </c>
      <c r="E331" s="16" t="s">
        <v>236</v>
      </c>
      <c r="F331" s="15"/>
      <c r="G331" s="15"/>
      <c r="H331" s="15"/>
      <c r="I331" s="17"/>
      <c r="J331" s="15"/>
      <c r="K331" s="15"/>
      <c r="L331" s="15"/>
      <c r="M331" s="15"/>
      <c r="N331" s="15"/>
      <c r="O331" s="15"/>
      <c r="P331" s="15"/>
      <c r="Q331" s="15"/>
      <c r="R331" s="15"/>
      <c r="S331" s="15"/>
      <c r="T331" s="15"/>
      <c r="U331" s="15"/>
      <c r="V331" s="18"/>
      <c r="W331" s="18"/>
      <c r="X331" s="30"/>
      <c r="Y331" s="30"/>
      <c r="Z331" s="30"/>
      <c r="AA331" s="30"/>
      <c r="AB331" s="34"/>
      <c r="AC331" s="30"/>
      <c r="AD331" s="30"/>
      <c r="AE331" s="30"/>
      <c r="AF331" s="30"/>
      <c r="AG331" s="30"/>
      <c r="AH331" s="30"/>
      <c r="AI331" s="30"/>
      <c r="AJ331" s="30"/>
      <c r="AK331" s="30"/>
      <c r="AL331" s="30"/>
      <c r="AM331" s="30"/>
      <c r="AN331" s="30"/>
      <c r="AO331" s="30"/>
    </row>
    <row r="332" spans="1:41" s="39" customFormat="1" ht="20.25" customHeight="1">
      <c r="A332" s="32">
        <v>13</v>
      </c>
      <c r="B332" s="139"/>
      <c r="C332" s="106" t="str">
        <f>IF(A332="","VARA",VLOOKUP(A332,'[1]varas'!$A$4:$B$67,2))</f>
        <v>13ª VT Recife</v>
      </c>
      <c r="D332" s="29"/>
      <c r="E332" s="16"/>
      <c r="F332" s="15">
        <f>15+17+5</f>
        <v>37</v>
      </c>
      <c r="G332" s="15">
        <v>2</v>
      </c>
      <c r="H332" s="15">
        <v>0</v>
      </c>
      <c r="I332" s="17">
        <f>SUM(F332:H332)</f>
        <v>39</v>
      </c>
      <c r="J332" s="15">
        <v>11</v>
      </c>
      <c r="K332" s="15">
        <v>2</v>
      </c>
      <c r="L332" s="15">
        <v>3</v>
      </c>
      <c r="M332" s="15">
        <v>2</v>
      </c>
      <c r="N332" s="15">
        <v>0</v>
      </c>
      <c r="O332" s="15">
        <v>17</v>
      </c>
      <c r="P332" s="15">
        <f>SUM(J332:O332)</f>
        <v>35</v>
      </c>
      <c r="Q332" s="15">
        <v>4</v>
      </c>
      <c r="R332" s="15">
        <v>0</v>
      </c>
      <c r="S332" s="15">
        <v>0</v>
      </c>
      <c r="T332" s="15">
        <v>0</v>
      </c>
      <c r="U332" s="15">
        <v>95</v>
      </c>
      <c r="V332" s="18"/>
      <c r="W332" s="18"/>
      <c r="X332" s="30"/>
      <c r="Y332" s="30"/>
      <c r="Z332" s="30"/>
      <c r="AA332" s="30"/>
      <c r="AB332" s="34"/>
      <c r="AC332" s="30"/>
      <c r="AD332" s="30"/>
      <c r="AE332" s="30"/>
      <c r="AF332" s="30"/>
      <c r="AG332" s="30"/>
      <c r="AH332" s="30"/>
      <c r="AI332" s="30"/>
      <c r="AJ332" s="30"/>
      <c r="AK332" s="30"/>
      <c r="AL332" s="30"/>
      <c r="AM332" s="30"/>
      <c r="AN332" s="30"/>
      <c r="AO332" s="30"/>
    </row>
    <row r="333" spans="1:41" s="39" customFormat="1" ht="21" customHeight="1">
      <c r="A333" s="32"/>
      <c r="B333" s="134"/>
      <c r="C333" s="107" t="s">
        <v>12</v>
      </c>
      <c r="D333" s="33"/>
      <c r="E333" s="23"/>
      <c r="F333" s="24">
        <f>SUM(F331:F332)</f>
        <v>37</v>
      </c>
      <c r="G333" s="24">
        <f>SUM(G331:G332)</f>
        <v>2</v>
      </c>
      <c r="H333" s="24">
        <f>SUM(H331:H332)</f>
        <v>0</v>
      </c>
      <c r="I333" s="40">
        <f>SUM(F333:H333)</f>
        <v>39</v>
      </c>
      <c r="J333" s="24">
        <f aca="true" t="shared" si="97" ref="J333:O333">SUM(J331:J332)</f>
        <v>11</v>
      </c>
      <c r="K333" s="24">
        <f t="shared" si="97"/>
        <v>2</v>
      </c>
      <c r="L333" s="24">
        <f t="shared" si="97"/>
        <v>3</v>
      </c>
      <c r="M333" s="24">
        <f t="shared" si="97"/>
        <v>2</v>
      </c>
      <c r="N333" s="24">
        <f t="shared" si="97"/>
        <v>0</v>
      </c>
      <c r="O333" s="24">
        <f t="shared" si="97"/>
        <v>17</v>
      </c>
      <c r="P333" s="24">
        <f>SUM(J333:O333)</f>
        <v>35</v>
      </c>
      <c r="Q333" s="24">
        <f>SUM(Q331:Q332)</f>
        <v>4</v>
      </c>
      <c r="R333" s="24">
        <f>SUM(R331:R332)</f>
        <v>0</v>
      </c>
      <c r="S333" s="24">
        <f>SUM(S331:S332)</f>
        <v>0</v>
      </c>
      <c r="T333" s="24">
        <f>SUM(T331:T332)</f>
        <v>0</v>
      </c>
      <c r="U333" s="24">
        <f>SUM(U331:U332)</f>
        <v>95</v>
      </c>
      <c r="V333" s="26">
        <f>IF(I333-Q333=0,"",IF(D333="",(P333+S333)/(I333-Q333),IF(AND(D333&lt;&gt;"",(P333+S333)/(I333-Q333)&gt;=50%),(P333+S333)/(I333-Q333),"")))</f>
        <v>1</v>
      </c>
      <c r="W333" s="26">
        <f>IF(I333=O333,"",IF(V333="",0,(P333+Q333+S333-O333)/(I333-O333)))</f>
        <v>1</v>
      </c>
      <c r="X333" s="30"/>
      <c r="Y333" s="30"/>
      <c r="Z333" s="30"/>
      <c r="AA333" s="30"/>
      <c r="AB333" s="34"/>
      <c r="AC333" s="30"/>
      <c r="AD333" s="30"/>
      <c r="AE333" s="30"/>
      <c r="AF333" s="30"/>
      <c r="AG333" s="30"/>
      <c r="AH333" s="30"/>
      <c r="AI333" s="30"/>
      <c r="AJ333" s="30"/>
      <c r="AK333" s="30"/>
      <c r="AL333" s="30"/>
      <c r="AM333" s="30"/>
      <c r="AN333" s="30"/>
      <c r="AO333" s="30"/>
    </row>
    <row r="334" spans="1:41" s="39" customFormat="1" ht="23.25" customHeight="1">
      <c r="A334" s="32"/>
      <c r="B334" s="130" t="s">
        <v>105</v>
      </c>
      <c r="C334" s="20" t="s">
        <v>2</v>
      </c>
      <c r="D334" s="29" t="s">
        <v>183</v>
      </c>
      <c r="E334" s="16" t="s">
        <v>184</v>
      </c>
      <c r="F334" s="15"/>
      <c r="G334" s="15"/>
      <c r="H334" s="15"/>
      <c r="I334" s="17"/>
      <c r="J334" s="15"/>
      <c r="K334" s="15"/>
      <c r="L334" s="15"/>
      <c r="M334" s="15"/>
      <c r="N334" s="15"/>
      <c r="O334" s="15"/>
      <c r="P334" s="15"/>
      <c r="Q334" s="15"/>
      <c r="R334" s="15"/>
      <c r="S334" s="15"/>
      <c r="T334" s="15"/>
      <c r="U334" s="15"/>
      <c r="V334" s="18"/>
      <c r="W334" s="18"/>
      <c r="X334" s="30"/>
      <c r="Y334" s="30"/>
      <c r="Z334" s="30"/>
      <c r="AA334" s="30"/>
      <c r="AB334" s="34"/>
      <c r="AC334" s="30"/>
      <c r="AD334" s="30"/>
      <c r="AE334" s="30"/>
      <c r="AF334" s="30"/>
      <c r="AG334" s="30"/>
      <c r="AH334" s="30"/>
      <c r="AI334" s="30"/>
      <c r="AJ334" s="30"/>
      <c r="AK334" s="30"/>
      <c r="AL334" s="30"/>
      <c r="AM334" s="30"/>
      <c r="AN334" s="30"/>
      <c r="AO334" s="30"/>
    </row>
    <row r="335" spans="1:41" s="39" customFormat="1" ht="20.25" customHeight="1">
      <c r="A335" s="32">
        <v>21</v>
      </c>
      <c r="B335" s="130"/>
      <c r="C335" s="20" t="str">
        <f>IF(A335="","VARA",VLOOKUP(A335,'[1]varas'!$A$4:$B$67,2))</f>
        <v>21ª VT Recife</v>
      </c>
      <c r="D335" s="15"/>
      <c r="E335" s="16"/>
      <c r="F335" s="15">
        <v>0</v>
      </c>
      <c r="G335" s="15">
        <v>0</v>
      </c>
      <c r="H335" s="15">
        <v>0</v>
      </c>
      <c r="I335" s="17">
        <f>SUM(F335:H335)</f>
        <v>0</v>
      </c>
      <c r="J335" s="15">
        <v>0</v>
      </c>
      <c r="K335" s="15">
        <v>0</v>
      </c>
      <c r="L335" s="15">
        <v>0</v>
      </c>
      <c r="M335" s="15">
        <v>0</v>
      </c>
      <c r="N335" s="15">
        <v>0</v>
      </c>
      <c r="O335" s="15">
        <v>0</v>
      </c>
      <c r="P335" s="15">
        <f>SUM(J335:O335)</f>
        <v>0</v>
      </c>
      <c r="Q335" s="15">
        <v>0</v>
      </c>
      <c r="R335" s="15">
        <v>0</v>
      </c>
      <c r="S335" s="15">
        <v>0</v>
      </c>
      <c r="T335" s="15">
        <v>0</v>
      </c>
      <c r="U335" s="15">
        <v>0</v>
      </c>
      <c r="V335" s="18"/>
      <c r="W335" s="18"/>
      <c r="X335" s="30"/>
      <c r="Y335" s="30"/>
      <c r="Z335" s="30"/>
      <c r="AA335" s="30"/>
      <c r="AB335" s="34"/>
      <c r="AC335" s="30"/>
      <c r="AD335" s="30"/>
      <c r="AE335" s="30"/>
      <c r="AF335" s="30"/>
      <c r="AG335" s="30"/>
      <c r="AH335" s="30"/>
      <c r="AI335" s="30"/>
      <c r="AJ335" s="30"/>
      <c r="AK335" s="30"/>
      <c r="AL335" s="30"/>
      <c r="AM335" s="30"/>
      <c r="AN335" s="30"/>
      <c r="AO335" s="30"/>
    </row>
    <row r="336" spans="1:41" s="53" customFormat="1" ht="27.75" customHeight="1">
      <c r="A336" s="47"/>
      <c r="B336" s="137"/>
      <c r="C336" s="21" t="s">
        <v>12</v>
      </c>
      <c r="D336" s="51"/>
      <c r="E336" s="52"/>
      <c r="F336" s="24">
        <f>SUM(F334:F335)</f>
        <v>0</v>
      </c>
      <c r="G336" s="24">
        <f>SUM(G334:G335)</f>
        <v>0</v>
      </c>
      <c r="H336" s="24">
        <f>SUM(H334:H335)</f>
        <v>0</v>
      </c>
      <c r="I336" s="25">
        <f>SUM(F336:H336)</f>
        <v>0</v>
      </c>
      <c r="J336" s="24">
        <f aca="true" t="shared" si="98" ref="J336:O336">SUM(J334:J335)</f>
        <v>0</v>
      </c>
      <c r="K336" s="24">
        <f t="shared" si="98"/>
        <v>0</v>
      </c>
      <c r="L336" s="24">
        <f t="shared" si="98"/>
        <v>0</v>
      </c>
      <c r="M336" s="24">
        <f t="shared" si="98"/>
        <v>0</v>
      </c>
      <c r="N336" s="24">
        <f t="shared" si="98"/>
        <v>0</v>
      </c>
      <c r="O336" s="24">
        <f t="shared" si="98"/>
        <v>0</v>
      </c>
      <c r="P336" s="24">
        <f>SUM(J336:O336)</f>
        <v>0</v>
      </c>
      <c r="Q336" s="24">
        <f>SUM(Q334:Q335)</f>
        <v>0</v>
      </c>
      <c r="R336" s="24">
        <f>SUM(R334:R335)</f>
        <v>0</v>
      </c>
      <c r="S336" s="24">
        <f>SUM(S334:S335)</f>
        <v>0</v>
      </c>
      <c r="T336" s="24">
        <f>SUM(T334:T335)</f>
        <v>0</v>
      </c>
      <c r="U336" s="24">
        <f>SUM(U334:U335)</f>
        <v>0</v>
      </c>
      <c r="V336" s="26">
        <f>IF(I336-Q336=0,"",IF(D336="",(P336+S336)/(I336-Q336),IF(AND(D336&lt;&gt;"",(P336+S336)/(I336-Q336)&gt;=50%),(P336+S336)/(I336-Q336),"")))</f>
      </c>
      <c r="W336" s="26">
        <f>IF(I336=O336,"",IF(V336="",0,(P336+Q336+S336-O336)/(I336-O336)))</f>
      </c>
      <c r="X336" s="49"/>
      <c r="Y336" s="49"/>
      <c r="Z336" s="49"/>
      <c r="AA336" s="49"/>
      <c r="AB336" s="50"/>
      <c r="AC336" s="49"/>
      <c r="AD336" s="49"/>
      <c r="AE336" s="49"/>
      <c r="AF336" s="49"/>
      <c r="AG336" s="49"/>
      <c r="AH336" s="49"/>
      <c r="AI336" s="49"/>
      <c r="AJ336" s="49"/>
      <c r="AK336" s="49"/>
      <c r="AL336" s="49"/>
      <c r="AM336" s="49"/>
      <c r="AN336" s="49"/>
      <c r="AO336" s="49"/>
    </row>
    <row r="337" spans="1:41" s="39" customFormat="1" ht="22.5" customHeight="1">
      <c r="A337" s="32"/>
      <c r="B337" s="137" t="s">
        <v>106</v>
      </c>
      <c r="C337" s="14" t="s">
        <v>2</v>
      </c>
      <c r="D337" s="29" t="s">
        <v>200</v>
      </c>
      <c r="E337" s="16" t="s">
        <v>208</v>
      </c>
      <c r="F337" s="15"/>
      <c r="G337" s="15"/>
      <c r="H337" s="15"/>
      <c r="I337" s="17"/>
      <c r="J337" s="15"/>
      <c r="K337" s="15"/>
      <c r="L337" s="15"/>
      <c r="M337" s="15"/>
      <c r="N337" s="15"/>
      <c r="O337" s="15"/>
      <c r="P337" s="15"/>
      <c r="Q337" s="15"/>
      <c r="R337" s="15"/>
      <c r="S337" s="15"/>
      <c r="T337" s="15"/>
      <c r="U337" s="15"/>
      <c r="V337" s="18"/>
      <c r="W337" s="18"/>
      <c r="X337" s="30"/>
      <c r="Y337" s="30"/>
      <c r="Z337" s="30"/>
      <c r="AA337" s="30"/>
      <c r="AB337" s="34"/>
      <c r="AC337" s="30"/>
      <c r="AD337" s="30"/>
      <c r="AE337" s="30"/>
      <c r="AF337" s="30"/>
      <c r="AG337" s="30"/>
      <c r="AH337" s="30"/>
      <c r="AI337" s="30"/>
      <c r="AJ337" s="30"/>
      <c r="AK337" s="30"/>
      <c r="AL337" s="30"/>
      <c r="AM337" s="30"/>
      <c r="AN337" s="30"/>
      <c r="AO337" s="30"/>
    </row>
    <row r="338" spans="1:41" s="39" customFormat="1" ht="25.5" customHeight="1">
      <c r="A338" s="32">
        <v>1</v>
      </c>
      <c r="B338" s="137"/>
      <c r="C338" s="20" t="str">
        <f>IF(A338="","VARA",VLOOKUP(A338,'[1]varas'!$A$4:$B$67,2))</f>
        <v>1ª VT Recife</v>
      </c>
      <c r="D338" s="29"/>
      <c r="E338" s="16"/>
      <c r="F338" s="15">
        <f>60+44+20</f>
        <v>124</v>
      </c>
      <c r="G338" s="15">
        <v>10</v>
      </c>
      <c r="H338" s="15">
        <v>0</v>
      </c>
      <c r="I338" s="17">
        <f>SUM(F338:H338)</f>
        <v>134</v>
      </c>
      <c r="J338" s="15">
        <v>34</v>
      </c>
      <c r="K338" s="15">
        <v>10</v>
      </c>
      <c r="L338" s="15">
        <v>16</v>
      </c>
      <c r="M338" s="15">
        <v>4</v>
      </c>
      <c r="N338" s="15">
        <v>0</v>
      </c>
      <c r="O338" s="15">
        <v>44</v>
      </c>
      <c r="P338" s="15">
        <f>SUM(J338:O338)</f>
        <v>108</v>
      </c>
      <c r="Q338" s="15">
        <v>23</v>
      </c>
      <c r="R338" s="15">
        <v>3</v>
      </c>
      <c r="S338" s="15">
        <v>0</v>
      </c>
      <c r="T338" s="15">
        <v>0</v>
      </c>
      <c r="U338" s="15">
        <v>166</v>
      </c>
      <c r="V338" s="18"/>
      <c r="W338" s="18"/>
      <c r="X338" s="30"/>
      <c r="Y338" s="30"/>
      <c r="Z338" s="30"/>
      <c r="AA338" s="30"/>
      <c r="AB338" s="34"/>
      <c r="AC338" s="30"/>
      <c r="AD338" s="30"/>
      <c r="AE338" s="30"/>
      <c r="AF338" s="30"/>
      <c r="AG338" s="30"/>
      <c r="AH338" s="30"/>
      <c r="AI338" s="30"/>
      <c r="AJ338" s="30"/>
      <c r="AK338" s="30"/>
      <c r="AL338" s="30"/>
      <c r="AM338" s="30"/>
      <c r="AN338" s="30"/>
      <c r="AO338" s="30"/>
    </row>
    <row r="339" spans="1:41" s="39" customFormat="1" ht="28.5" customHeight="1">
      <c r="A339" s="32"/>
      <c r="B339" s="137"/>
      <c r="C339" s="21" t="s">
        <v>12</v>
      </c>
      <c r="D339" s="33"/>
      <c r="E339" s="23"/>
      <c r="F339" s="24">
        <f>SUM(F337:F338)</f>
        <v>124</v>
      </c>
      <c r="G339" s="24">
        <f>SUM(G337:G338)</f>
        <v>10</v>
      </c>
      <c r="H339" s="24">
        <f>SUM(H337:H338)</f>
        <v>0</v>
      </c>
      <c r="I339" s="40">
        <f>SUM(F339:H339)</f>
        <v>134</v>
      </c>
      <c r="J339" s="24">
        <f aca="true" t="shared" si="99" ref="J339:O339">SUM(J337:J338)</f>
        <v>34</v>
      </c>
      <c r="K339" s="24">
        <f t="shared" si="99"/>
        <v>10</v>
      </c>
      <c r="L339" s="24">
        <f t="shared" si="99"/>
        <v>16</v>
      </c>
      <c r="M339" s="24">
        <f t="shared" si="99"/>
        <v>4</v>
      </c>
      <c r="N339" s="24">
        <f t="shared" si="99"/>
        <v>0</v>
      </c>
      <c r="O339" s="24">
        <f t="shared" si="99"/>
        <v>44</v>
      </c>
      <c r="P339" s="24">
        <f>SUM(J339:O339)</f>
        <v>108</v>
      </c>
      <c r="Q339" s="24">
        <f>SUM(Q337:Q338)</f>
        <v>23</v>
      </c>
      <c r="R339" s="24">
        <f>SUM(R337:R338)</f>
        <v>3</v>
      </c>
      <c r="S339" s="24">
        <f>SUM(S337:S338)</f>
        <v>0</v>
      </c>
      <c r="T339" s="24">
        <f>SUM(T337:T338)</f>
        <v>0</v>
      </c>
      <c r="U339" s="24">
        <f>SUM(U337:U338)</f>
        <v>166</v>
      </c>
      <c r="V339" s="26">
        <f>IF(I339-Q339=0,"",IF(D339="",(P339+S339)/(I339-Q339),IF(AND(D339&lt;&gt;"",(P339+S339)/(I339-Q339)&gt;=50%),(P339+S339)/(I339-Q339),"")))</f>
        <v>0.972972972972973</v>
      </c>
      <c r="W339" s="26">
        <f>IF(I339=O339,"",IF(V339="",0,(P339+Q339+S339-O339)/(I339-O339)))</f>
        <v>0.9666666666666667</v>
      </c>
      <c r="X339" s="30"/>
      <c r="Y339" s="30"/>
      <c r="Z339" s="30"/>
      <c r="AA339" s="30"/>
      <c r="AB339" s="34"/>
      <c r="AC339" s="30"/>
      <c r="AD339" s="30"/>
      <c r="AE339" s="30"/>
      <c r="AF339" s="30"/>
      <c r="AG339" s="30"/>
      <c r="AH339" s="30"/>
      <c r="AI339" s="30"/>
      <c r="AJ339" s="30"/>
      <c r="AK339" s="30"/>
      <c r="AL339" s="30"/>
      <c r="AM339" s="30"/>
      <c r="AN339" s="30"/>
      <c r="AO339" s="30"/>
    </row>
    <row r="340" spans="1:41" s="39" customFormat="1" ht="24.75" customHeight="1">
      <c r="A340" s="32"/>
      <c r="B340" s="149" t="s">
        <v>179</v>
      </c>
      <c r="C340" s="109" t="s">
        <v>180</v>
      </c>
      <c r="D340" s="103" t="s">
        <v>30</v>
      </c>
      <c r="E340" s="91" t="s">
        <v>208</v>
      </c>
      <c r="F340" s="92"/>
      <c r="G340" s="92"/>
      <c r="H340" s="92"/>
      <c r="I340" s="93"/>
      <c r="J340" s="92"/>
      <c r="K340" s="92"/>
      <c r="L340" s="92"/>
      <c r="M340" s="92"/>
      <c r="N340" s="92"/>
      <c r="O340" s="92"/>
      <c r="P340" s="92"/>
      <c r="Q340" s="92"/>
      <c r="R340" s="92"/>
      <c r="S340" s="92"/>
      <c r="T340" s="92"/>
      <c r="U340" s="92"/>
      <c r="V340" s="94"/>
      <c r="W340" s="94"/>
      <c r="X340" s="30"/>
      <c r="Y340" s="30"/>
      <c r="Z340" s="30"/>
      <c r="AA340" s="30"/>
      <c r="AB340" s="34"/>
      <c r="AC340" s="30"/>
      <c r="AD340" s="30"/>
      <c r="AE340" s="30"/>
      <c r="AF340" s="30"/>
      <c r="AG340" s="30"/>
      <c r="AH340" s="30"/>
      <c r="AI340" s="30"/>
      <c r="AJ340" s="30"/>
      <c r="AK340" s="30"/>
      <c r="AL340" s="30"/>
      <c r="AM340" s="30"/>
      <c r="AN340" s="30"/>
      <c r="AO340" s="30"/>
    </row>
    <row r="341" spans="1:41" s="39" customFormat="1" ht="24.75" customHeight="1">
      <c r="A341" s="32">
        <v>35</v>
      </c>
      <c r="B341" s="150"/>
      <c r="C341" s="110" t="str">
        <f>IF(A341="","VARA",VLOOKUP(A341,'[1]varas'!$A$4:$B$67,2))</f>
        <v>2ª VT Jaboatão</v>
      </c>
      <c r="D341" s="103"/>
      <c r="E341" s="91"/>
      <c r="F341" s="92">
        <f>12+5+6</f>
        <v>23</v>
      </c>
      <c r="G341" s="92">
        <v>0</v>
      </c>
      <c r="H341" s="92">
        <v>0</v>
      </c>
      <c r="I341" s="93">
        <f>SUM(F341:H341)</f>
        <v>23</v>
      </c>
      <c r="J341" s="92">
        <v>12</v>
      </c>
      <c r="K341" s="92">
        <v>0</v>
      </c>
      <c r="L341" s="92">
        <v>4</v>
      </c>
      <c r="M341" s="92">
        <v>2</v>
      </c>
      <c r="N341" s="92">
        <v>0</v>
      </c>
      <c r="O341" s="92">
        <v>5</v>
      </c>
      <c r="P341" s="92">
        <f>SUM(J341:O341)</f>
        <v>23</v>
      </c>
      <c r="Q341" s="92">
        <v>0</v>
      </c>
      <c r="R341" s="92">
        <v>0</v>
      </c>
      <c r="S341" s="92">
        <v>0</v>
      </c>
      <c r="T341" s="92">
        <v>0</v>
      </c>
      <c r="U341" s="92">
        <v>53</v>
      </c>
      <c r="V341" s="94"/>
      <c r="W341" s="94"/>
      <c r="X341" s="30"/>
      <c r="Y341" s="30"/>
      <c r="Z341" s="30"/>
      <c r="AA341" s="30"/>
      <c r="AB341" s="34"/>
      <c r="AC341" s="30"/>
      <c r="AD341" s="30"/>
      <c r="AE341" s="30"/>
      <c r="AF341" s="30"/>
      <c r="AG341" s="30"/>
      <c r="AH341" s="30"/>
      <c r="AI341" s="30"/>
      <c r="AJ341" s="30"/>
      <c r="AK341" s="30"/>
      <c r="AL341" s="30"/>
      <c r="AM341" s="30"/>
      <c r="AN341" s="30"/>
      <c r="AO341" s="30"/>
    </row>
    <row r="342" spans="1:41" s="39" customFormat="1" ht="21.75" customHeight="1">
      <c r="A342" s="32"/>
      <c r="B342" s="151"/>
      <c r="C342" s="111" t="s">
        <v>12</v>
      </c>
      <c r="D342" s="97"/>
      <c r="E342" s="98"/>
      <c r="F342" s="99">
        <f>SUM(F340:F341)</f>
        <v>23</v>
      </c>
      <c r="G342" s="99">
        <f>SUM(G340:G341)</f>
        <v>0</v>
      </c>
      <c r="H342" s="99">
        <f>SUM(H340:H341)</f>
        <v>0</v>
      </c>
      <c r="I342" s="100">
        <f>SUM(F342:H342)</f>
        <v>23</v>
      </c>
      <c r="J342" s="99">
        <f aca="true" t="shared" si="100" ref="J342:O342">SUM(J340:J341)</f>
        <v>12</v>
      </c>
      <c r="K342" s="99">
        <f t="shared" si="100"/>
        <v>0</v>
      </c>
      <c r="L342" s="99">
        <f t="shared" si="100"/>
        <v>4</v>
      </c>
      <c r="M342" s="99">
        <f t="shared" si="100"/>
        <v>2</v>
      </c>
      <c r="N342" s="99">
        <f t="shared" si="100"/>
        <v>0</v>
      </c>
      <c r="O342" s="99">
        <f t="shared" si="100"/>
        <v>5</v>
      </c>
      <c r="P342" s="99">
        <f>SUM(J342:O342)</f>
        <v>23</v>
      </c>
      <c r="Q342" s="99">
        <f>SUM(Q340:Q341)</f>
        <v>0</v>
      </c>
      <c r="R342" s="99">
        <f>SUM(R340:R341)</f>
        <v>0</v>
      </c>
      <c r="S342" s="99">
        <f>SUM(S340:S341)</f>
        <v>0</v>
      </c>
      <c r="T342" s="99">
        <f>SUM(T340:T341)</f>
        <v>0</v>
      </c>
      <c r="U342" s="99">
        <f>SUM(U340:U341)</f>
        <v>53</v>
      </c>
      <c r="V342" s="101">
        <f>IF(I342-Q342=0,"",IF(D342="",(P342+S342)/(I342-Q342),IF(AND(D342&lt;&gt;"",(P342+S342)/(I342-Q342)&gt;=50%),(P342+S342)/(I342-Q342),"")))</f>
        <v>1</v>
      </c>
      <c r="W342" s="101">
        <f>IF(I342=O342,"",IF(V342="",0,(P342+Q342+S342-O342)/(I342-O342)))</f>
        <v>1</v>
      </c>
      <c r="X342" s="30"/>
      <c r="Y342" s="30"/>
      <c r="Z342" s="30"/>
      <c r="AA342" s="30"/>
      <c r="AB342" s="34"/>
      <c r="AC342" s="30"/>
      <c r="AD342" s="30"/>
      <c r="AE342" s="30"/>
      <c r="AF342" s="30"/>
      <c r="AG342" s="30"/>
      <c r="AH342" s="30"/>
      <c r="AI342" s="30"/>
      <c r="AJ342" s="30"/>
      <c r="AK342" s="30"/>
      <c r="AL342" s="30"/>
      <c r="AM342" s="30"/>
      <c r="AN342" s="30"/>
      <c r="AO342" s="30"/>
    </row>
    <row r="343" spans="1:41" s="39" customFormat="1" ht="24" customHeight="1">
      <c r="A343" s="32"/>
      <c r="B343" s="137" t="s">
        <v>107</v>
      </c>
      <c r="C343" s="14" t="s">
        <v>2</v>
      </c>
      <c r="D343" s="29" t="s">
        <v>30</v>
      </c>
      <c r="E343" s="16" t="s">
        <v>237</v>
      </c>
      <c r="F343" s="15"/>
      <c r="G343" s="15"/>
      <c r="H343" s="15"/>
      <c r="I343" s="17"/>
      <c r="J343" s="15"/>
      <c r="K343" s="15"/>
      <c r="L343" s="15"/>
      <c r="M343" s="15"/>
      <c r="N343" s="15"/>
      <c r="O343" s="15"/>
      <c r="P343" s="15"/>
      <c r="Q343" s="15"/>
      <c r="R343" s="15"/>
      <c r="S343" s="15"/>
      <c r="T343" s="15"/>
      <c r="U343" s="15"/>
      <c r="V343" s="18"/>
      <c r="W343" s="18"/>
      <c r="X343" s="30"/>
      <c r="Y343" s="30"/>
      <c r="Z343" s="30"/>
      <c r="AA343" s="30"/>
      <c r="AB343" s="34"/>
      <c r="AC343" s="30"/>
      <c r="AD343" s="30"/>
      <c r="AE343" s="30"/>
      <c r="AF343" s="30"/>
      <c r="AG343" s="30"/>
      <c r="AH343" s="30"/>
      <c r="AI343" s="30"/>
      <c r="AJ343" s="30"/>
      <c r="AK343" s="30"/>
      <c r="AL343" s="30"/>
      <c r="AM343" s="30"/>
      <c r="AN343" s="30"/>
      <c r="AO343" s="30"/>
    </row>
    <row r="344" spans="1:41" s="39" customFormat="1" ht="20.25" customHeight="1">
      <c r="A344" s="32">
        <v>16</v>
      </c>
      <c r="B344" s="137"/>
      <c r="C344" s="20" t="str">
        <f>IF(A344="","VARA",VLOOKUP(A344,'[1]varas'!$A$4:$B$67,2))</f>
        <v>16ª VT Recife</v>
      </c>
      <c r="D344" s="15"/>
      <c r="E344" s="16"/>
      <c r="F344" s="15">
        <f>18+14+1</f>
        <v>33</v>
      </c>
      <c r="G344" s="15">
        <v>17</v>
      </c>
      <c r="H344" s="15">
        <v>24</v>
      </c>
      <c r="I344" s="17">
        <f>SUM(F344:H344)</f>
        <v>74</v>
      </c>
      <c r="J344" s="15">
        <v>50</v>
      </c>
      <c r="K344" s="15">
        <v>0</v>
      </c>
      <c r="L344" s="15">
        <v>1</v>
      </c>
      <c r="M344" s="15">
        <v>0</v>
      </c>
      <c r="N344" s="15">
        <v>0</v>
      </c>
      <c r="O344" s="15">
        <v>14</v>
      </c>
      <c r="P344" s="15">
        <f>SUM(J344:O344)</f>
        <v>65</v>
      </c>
      <c r="Q344" s="15">
        <v>5</v>
      </c>
      <c r="R344" s="15">
        <v>1</v>
      </c>
      <c r="S344" s="15">
        <v>0</v>
      </c>
      <c r="T344" s="15">
        <v>3</v>
      </c>
      <c r="U344" s="15">
        <v>110</v>
      </c>
      <c r="V344" s="18"/>
      <c r="W344" s="18"/>
      <c r="X344" s="30"/>
      <c r="Y344" s="30"/>
      <c r="Z344" s="30"/>
      <c r="AA344" s="30"/>
      <c r="AB344" s="34"/>
      <c r="AC344" s="30"/>
      <c r="AD344" s="30"/>
      <c r="AE344" s="30"/>
      <c r="AF344" s="30"/>
      <c r="AG344" s="30"/>
      <c r="AH344" s="30"/>
      <c r="AI344" s="30"/>
      <c r="AJ344" s="30"/>
      <c r="AK344" s="30"/>
      <c r="AL344" s="30"/>
      <c r="AM344" s="30"/>
      <c r="AN344" s="30"/>
      <c r="AO344" s="30"/>
    </row>
    <row r="345" spans="1:41" s="53" customFormat="1" ht="19.5" customHeight="1">
      <c r="A345" s="47"/>
      <c r="B345" s="137"/>
      <c r="C345" s="21" t="s">
        <v>12</v>
      </c>
      <c r="D345" s="51"/>
      <c r="E345" s="52"/>
      <c r="F345" s="24">
        <f>SUM(F343:F344)</f>
        <v>33</v>
      </c>
      <c r="G345" s="24">
        <f>SUM(G343:G344)</f>
        <v>17</v>
      </c>
      <c r="H345" s="24">
        <f>SUM(H343:H344)</f>
        <v>24</v>
      </c>
      <c r="I345" s="25">
        <f>SUM(F345:H345)</f>
        <v>74</v>
      </c>
      <c r="J345" s="24">
        <f aca="true" t="shared" si="101" ref="J345:O345">SUM(J343:J344)</f>
        <v>50</v>
      </c>
      <c r="K345" s="24">
        <f t="shared" si="101"/>
        <v>0</v>
      </c>
      <c r="L345" s="24">
        <f t="shared" si="101"/>
        <v>1</v>
      </c>
      <c r="M345" s="24">
        <f t="shared" si="101"/>
        <v>0</v>
      </c>
      <c r="N345" s="24">
        <f t="shared" si="101"/>
        <v>0</v>
      </c>
      <c r="O345" s="24">
        <f t="shared" si="101"/>
        <v>14</v>
      </c>
      <c r="P345" s="24">
        <f>SUM(J345:O345)</f>
        <v>65</v>
      </c>
      <c r="Q345" s="24">
        <f>SUM(Q343:Q344)</f>
        <v>5</v>
      </c>
      <c r="R345" s="24">
        <f>SUM(R343:R344)</f>
        <v>1</v>
      </c>
      <c r="S345" s="24">
        <f>SUM(S343:S344)</f>
        <v>0</v>
      </c>
      <c r="T345" s="24">
        <f>SUM(T343:T344)</f>
        <v>3</v>
      </c>
      <c r="U345" s="24">
        <f>SUM(U343:U344)</f>
        <v>110</v>
      </c>
      <c r="V345" s="26">
        <f>IF(I345-Q345=0,"",IF(D345="",(P345+S345)/(I345-Q345),IF(AND(D345&lt;&gt;"",(P345+S345)/(I345-Q345)&gt;=50%),(P345+S345)/(I345-Q345),"")))</f>
        <v>0.9420289855072463</v>
      </c>
      <c r="W345" s="26">
        <f>IF(I345=O345,"",IF(V345="",0,(P345+Q345+S345-O345)/(I345-O345)))</f>
        <v>0.9333333333333333</v>
      </c>
      <c r="X345" s="49"/>
      <c r="Y345" s="49"/>
      <c r="Z345" s="49"/>
      <c r="AA345" s="49"/>
      <c r="AB345" s="50"/>
      <c r="AC345" s="49"/>
      <c r="AD345" s="49"/>
      <c r="AE345" s="49"/>
      <c r="AF345" s="49"/>
      <c r="AG345" s="49"/>
      <c r="AH345" s="49"/>
      <c r="AI345" s="49"/>
      <c r="AJ345" s="49"/>
      <c r="AK345" s="49"/>
      <c r="AL345" s="49"/>
      <c r="AM345" s="49"/>
      <c r="AN345" s="49"/>
      <c r="AO345" s="49"/>
    </row>
    <row r="346" spans="1:41" s="39" customFormat="1" ht="24" customHeight="1">
      <c r="A346" s="32"/>
      <c r="B346" s="137" t="s">
        <v>108</v>
      </c>
      <c r="C346" s="14" t="s">
        <v>2</v>
      </c>
      <c r="D346" s="29" t="s">
        <v>30</v>
      </c>
      <c r="E346" s="16" t="s">
        <v>207</v>
      </c>
      <c r="F346" s="15"/>
      <c r="G346" s="15"/>
      <c r="H346" s="15"/>
      <c r="I346" s="17"/>
      <c r="J346" s="15"/>
      <c r="K346" s="15"/>
      <c r="L346" s="15"/>
      <c r="M346" s="15"/>
      <c r="N346" s="15"/>
      <c r="O346" s="15"/>
      <c r="P346" s="15"/>
      <c r="Q346" s="15"/>
      <c r="R346" s="15"/>
      <c r="S346" s="15"/>
      <c r="T346" s="15"/>
      <c r="U346" s="15"/>
      <c r="V346" s="18"/>
      <c r="W346" s="18"/>
      <c r="X346" s="30"/>
      <c r="Y346" s="30"/>
      <c r="Z346" s="30"/>
      <c r="AA346" s="30"/>
      <c r="AB346" s="34"/>
      <c r="AC346" s="30"/>
      <c r="AD346" s="30"/>
      <c r="AE346" s="30"/>
      <c r="AF346" s="30"/>
      <c r="AG346" s="30"/>
      <c r="AH346" s="30"/>
      <c r="AI346" s="30"/>
      <c r="AJ346" s="30"/>
      <c r="AK346" s="30"/>
      <c r="AL346" s="30"/>
      <c r="AM346" s="30"/>
      <c r="AN346" s="30"/>
      <c r="AO346" s="30"/>
    </row>
    <row r="347" spans="1:41" s="39" customFormat="1" ht="21" customHeight="1">
      <c r="A347" s="32">
        <v>52</v>
      </c>
      <c r="B347" s="137"/>
      <c r="C347" s="20" t="str">
        <f>IF(A347="","VARA",VLOOKUP(A347,'[1]varas'!$A$4:$B$67,2))</f>
        <v>VT Limoeiro</v>
      </c>
      <c r="D347" s="15"/>
      <c r="E347" s="16"/>
      <c r="F347" s="15">
        <v>0</v>
      </c>
      <c r="G347" s="15">
        <v>0</v>
      </c>
      <c r="H347" s="15">
        <v>0</v>
      </c>
      <c r="I347" s="17">
        <f>SUM(F347:H347)</f>
        <v>0</v>
      </c>
      <c r="J347" s="15">
        <v>0</v>
      </c>
      <c r="K347" s="15">
        <v>0</v>
      </c>
      <c r="L347" s="15">
        <v>0</v>
      </c>
      <c r="M347" s="15">
        <v>0</v>
      </c>
      <c r="N347" s="15">
        <v>0</v>
      </c>
      <c r="O347" s="15">
        <v>0</v>
      </c>
      <c r="P347" s="15">
        <f>SUM(J347:O347)</f>
        <v>0</v>
      </c>
      <c r="Q347" s="15">
        <v>0</v>
      </c>
      <c r="R347" s="15">
        <v>0</v>
      </c>
      <c r="S347" s="15">
        <v>0</v>
      </c>
      <c r="T347" s="15">
        <v>0</v>
      </c>
      <c r="U347" s="15">
        <v>0</v>
      </c>
      <c r="V347" s="18"/>
      <c r="W347" s="18"/>
      <c r="X347" s="30"/>
      <c r="Y347" s="30"/>
      <c r="Z347" s="30"/>
      <c r="AA347" s="30"/>
      <c r="AB347" s="34"/>
      <c r="AC347" s="30"/>
      <c r="AD347" s="30"/>
      <c r="AE347" s="30"/>
      <c r="AF347" s="30"/>
      <c r="AG347" s="30"/>
      <c r="AH347" s="30"/>
      <c r="AI347" s="30"/>
      <c r="AJ347" s="30"/>
      <c r="AK347" s="30"/>
      <c r="AL347" s="30"/>
      <c r="AM347" s="30"/>
      <c r="AN347" s="30"/>
      <c r="AO347" s="30"/>
    </row>
    <row r="348" spans="1:41" s="39" customFormat="1" ht="24.75" customHeight="1">
      <c r="A348" s="32">
        <v>64</v>
      </c>
      <c r="B348" s="137"/>
      <c r="C348" s="20" t="str">
        <f>IF(A348="","VARA",VLOOKUP(A348,'[1]varas'!$A$4:$B$67,2))</f>
        <v>PAJT Surubim</v>
      </c>
      <c r="D348" s="15"/>
      <c r="E348" s="16"/>
      <c r="F348" s="15">
        <v>0</v>
      </c>
      <c r="G348" s="15">
        <v>6</v>
      </c>
      <c r="H348" s="15">
        <v>0</v>
      </c>
      <c r="I348" s="17">
        <f>SUM(F348:H348)</f>
        <v>6</v>
      </c>
      <c r="J348" s="15">
        <v>6</v>
      </c>
      <c r="K348" s="15">
        <v>0</v>
      </c>
      <c r="L348" s="15">
        <v>0</v>
      </c>
      <c r="M348" s="15">
        <v>0</v>
      </c>
      <c r="N348" s="15">
        <v>0</v>
      </c>
      <c r="O348" s="15">
        <v>0</v>
      </c>
      <c r="P348" s="15">
        <f>SUM(J348:O348)</f>
        <v>6</v>
      </c>
      <c r="Q348" s="15">
        <v>0</v>
      </c>
      <c r="R348" s="15">
        <v>0</v>
      </c>
      <c r="S348" s="15">
        <v>0</v>
      </c>
      <c r="T348" s="15">
        <v>0</v>
      </c>
      <c r="U348" s="15">
        <v>0</v>
      </c>
      <c r="V348" s="18"/>
      <c r="W348" s="18"/>
      <c r="X348" s="30"/>
      <c r="Y348" s="30"/>
      <c r="Z348" s="30"/>
      <c r="AA348" s="30"/>
      <c r="AB348" s="34"/>
      <c r="AC348" s="30"/>
      <c r="AD348" s="30"/>
      <c r="AE348" s="30"/>
      <c r="AF348" s="30"/>
      <c r="AG348" s="30"/>
      <c r="AH348" s="30"/>
      <c r="AI348" s="30"/>
      <c r="AJ348" s="30"/>
      <c r="AK348" s="30"/>
      <c r="AL348" s="30"/>
      <c r="AM348" s="30"/>
      <c r="AN348" s="30"/>
      <c r="AO348" s="30"/>
    </row>
    <row r="349" spans="1:41" s="53" customFormat="1" ht="22.5" customHeight="1">
      <c r="A349" s="47"/>
      <c r="B349" s="131"/>
      <c r="C349" s="21" t="s">
        <v>12</v>
      </c>
      <c r="D349" s="51"/>
      <c r="E349" s="52"/>
      <c r="F349" s="24">
        <f>SUM(F346:F348)</f>
        <v>0</v>
      </c>
      <c r="G349" s="24">
        <f>SUM(G346:G348)</f>
        <v>6</v>
      </c>
      <c r="H349" s="24">
        <f>SUM(H346:H348)</f>
        <v>0</v>
      </c>
      <c r="I349" s="25">
        <f>SUM(F349:H349)</f>
        <v>6</v>
      </c>
      <c r="J349" s="24">
        <f aca="true" t="shared" si="102" ref="J349:O349">SUM(J346:J348)</f>
        <v>6</v>
      </c>
      <c r="K349" s="24">
        <f t="shared" si="102"/>
        <v>0</v>
      </c>
      <c r="L349" s="24">
        <f t="shared" si="102"/>
        <v>0</v>
      </c>
      <c r="M349" s="24">
        <f t="shared" si="102"/>
        <v>0</v>
      </c>
      <c r="N349" s="24">
        <f t="shared" si="102"/>
        <v>0</v>
      </c>
      <c r="O349" s="24">
        <f t="shared" si="102"/>
        <v>0</v>
      </c>
      <c r="P349" s="24">
        <f>SUM(J349:O349)</f>
        <v>6</v>
      </c>
      <c r="Q349" s="24">
        <f>SUM(Q346:Q348)</f>
        <v>0</v>
      </c>
      <c r="R349" s="24">
        <f>SUM(R346:R348)</f>
        <v>0</v>
      </c>
      <c r="S349" s="24">
        <f>SUM(S346:S348)</f>
        <v>0</v>
      </c>
      <c r="T349" s="24">
        <f>SUM(T346:T348)</f>
        <v>0</v>
      </c>
      <c r="U349" s="24">
        <f>SUM(U346:U348)</f>
        <v>0</v>
      </c>
      <c r="V349" s="26">
        <f>IF(I349-Q349=0,"",IF(D349="",(P349+S349)/(I349-Q349),IF(AND(D349&lt;&gt;"",(P349+S349)/(I349-Q349)&gt;=50%),(P349+S349)/(I349-Q349),"")))</f>
        <v>1</v>
      </c>
      <c r="W349" s="26">
        <f>IF(I349=O349,"",IF(V349="",0,(P349+Q349+S349-O349)/(I349-O349)))</f>
        <v>1</v>
      </c>
      <c r="X349" s="49"/>
      <c r="Y349" s="49"/>
      <c r="Z349" s="49"/>
      <c r="AA349" s="49"/>
      <c r="AB349" s="50"/>
      <c r="AC349" s="49"/>
      <c r="AD349" s="49"/>
      <c r="AE349" s="49"/>
      <c r="AF349" s="49"/>
      <c r="AG349" s="49"/>
      <c r="AH349" s="49"/>
      <c r="AI349" s="49"/>
      <c r="AJ349" s="49"/>
      <c r="AK349" s="49"/>
      <c r="AL349" s="49"/>
      <c r="AM349" s="49"/>
      <c r="AN349" s="49"/>
      <c r="AO349" s="49"/>
    </row>
    <row r="350" spans="1:41" s="39" customFormat="1" ht="22.5" customHeight="1">
      <c r="A350" s="32"/>
      <c r="B350" s="138" t="s">
        <v>109</v>
      </c>
      <c r="C350" s="105" t="s">
        <v>156</v>
      </c>
      <c r="D350" s="29" t="s">
        <v>43</v>
      </c>
      <c r="E350" s="16" t="s">
        <v>238</v>
      </c>
      <c r="F350" s="15"/>
      <c r="G350" s="15"/>
      <c r="H350" s="15"/>
      <c r="I350" s="17"/>
      <c r="J350" s="15"/>
      <c r="K350" s="15"/>
      <c r="L350" s="15"/>
      <c r="M350" s="15"/>
      <c r="N350" s="15"/>
      <c r="O350" s="15"/>
      <c r="P350" s="15"/>
      <c r="Q350" s="15"/>
      <c r="R350" s="15"/>
      <c r="S350" s="15"/>
      <c r="T350" s="15"/>
      <c r="U350" s="15"/>
      <c r="V350" s="18"/>
      <c r="W350" s="18"/>
      <c r="X350" s="30"/>
      <c r="Y350" s="30"/>
      <c r="Z350" s="30"/>
      <c r="AA350" s="30"/>
      <c r="AB350" s="34"/>
      <c r="AC350" s="30"/>
      <c r="AD350" s="30"/>
      <c r="AE350" s="30"/>
      <c r="AF350" s="30"/>
      <c r="AG350" s="30"/>
      <c r="AH350" s="30"/>
      <c r="AI350" s="30"/>
      <c r="AJ350" s="30"/>
      <c r="AK350" s="30"/>
      <c r="AL350" s="30"/>
      <c r="AM350" s="30"/>
      <c r="AN350" s="30"/>
      <c r="AO350" s="30"/>
    </row>
    <row r="351" spans="1:41" s="39" customFormat="1" ht="18" customHeight="1">
      <c r="A351" s="32">
        <v>50</v>
      </c>
      <c r="B351" s="139"/>
      <c r="C351" s="106" t="str">
        <f>IF(A351="","VARA",VLOOKUP(A351,'[1]varas'!$A$4:$B$67,2))</f>
        <v>VT Garanhuns</v>
      </c>
      <c r="D351" s="29"/>
      <c r="E351" s="16"/>
      <c r="F351" s="15">
        <v>5</v>
      </c>
      <c r="G351" s="15">
        <v>17</v>
      </c>
      <c r="H351" s="15">
        <v>0</v>
      </c>
      <c r="I351" s="17">
        <f>SUM(F351:H351)</f>
        <v>22</v>
      </c>
      <c r="J351" s="15">
        <v>17</v>
      </c>
      <c r="K351" s="15">
        <v>0</v>
      </c>
      <c r="L351" s="15">
        <v>0</v>
      </c>
      <c r="M351" s="15">
        <v>0</v>
      </c>
      <c r="N351" s="15">
        <v>0</v>
      </c>
      <c r="O351" s="15">
        <v>0</v>
      </c>
      <c r="P351" s="15">
        <f>SUM(J351:O351)</f>
        <v>17</v>
      </c>
      <c r="Q351" s="15">
        <v>0</v>
      </c>
      <c r="R351" s="15">
        <v>5</v>
      </c>
      <c r="S351" s="15">
        <v>0</v>
      </c>
      <c r="T351" s="15">
        <v>0</v>
      </c>
      <c r="U351" s="15">
        <v>0</v>
      </c>
      <c r="V351" s="18"/>
      <c r="W351" s="18"/>
      <c r="X351" s="30"/>
      <c r="Y351" s="30"/>
      <c r="Z351" s="30"/>
      <c r="AA351" s="30"/>
      <c r="AB351" s="34"/>
      <c r="AC351" s="30"/>
      <c r="AD351" s="30"/>
      <c r="AE351" s="30"/>
      <c r="AF351" s="30"/>
      <c r="AG351" s="30"/>
      <c r="AH351" s="30"/>
      <c r="AI351" s="30"/>
      <c r="AJ351" s="30"/>
      <c r="AK351" s="30"/>
      <c r="AL351" s="30"/>
      <c r="AM351" s="30"/>
      <c r="AN351" s="30"/>
      <c r="AO351" s="30"/>
    </row>
    <row r="352" spans="1:41" s="39" customFormat="1" ht="16.5" customHeight="1">
      <c r="A352" s="32"/>
      <c r="B352" s="134"/>
      <c r="C352" s="107" t="s">
        <v>12</v>
      </c>
      <c r="D352" s="33"/>
      <c r="E352" s="23"/>
      <c r="F352" s="24">
        <f>SUM(F350:F351)</f>
        <v>5</v>
      </c>
      <c r="G352" s="24">
        <f>SUM(G350:G351)</f>
        <v>17</v>
      </c>
      <c r="H352" s="24">
        <f>SUM(H350:H351)</f>
        <v>0</v>
      </c>
      <c r="I352" s="40">
        <f>SUM(F352:H352)</f>
        <v>22</v>
      </c>
      <c r="J352" s="24">
        <f aca="true" t="shared" si="103" ref="J352:O352">SUM(J350:J351)</f>
        <v>17</v>
      </c>
      <c r="K352" s="24">
        <f t="shared" si="103"/>
        <v>0</v>
      </c>
      <c r="L352" s="24">
        <f t="shared" si="103"/>
        <v>0</v>
      </c>
      <c r="M352" s="24">
        <f t="shared" si="103"/>
        <v>0</v>
      </c>
      <c r="N352" s="24">
        <f t="shared" si="103"/>
        <v>0</v>
      </c>
      <c r="O352" s="24">
        <f t="shared" si="103"/>
        <v>0</v>
      </c>
      <c r="P352" s="24">
        <f>SUM(J352:O352)</f>
        <v>17</v>
      </c>
      <c r="Q352" s="24">
        <f>SUM(Q350:Q351)</f>
        <v>0</v>
      </c>
      <c r="R352" s="24">
        <f>SUM(R350:R351)</f>
        <v>5</v>
      </c>
      <c r="S352" s="24">
        <f>SUM(S350:S351)</f>
        <v>0</v>
      </c>
      <c r="T352" s="24">
        <f>SUM(T350:T351)</f>
        <v>0</v>
      </c>
      <c r="U352" s="24">
        <f>SUM(U350:U351)</f>
        <v>0</v>
      </c>
      <c r="V352" s="26">
        <f>IF(I352-Q352=0,"",IF(D352="",(P352+S352)/(I352-Q352),IF(AND(D352&lt;&gt;"",(P352+S352)/(I352-Q352)&gt;=50%),(P352+S352)/(I352-Q352),"")))</f>
        <v>0.7727272727272727</v>
      </c>
      <c r="W352" s="26">
        <f>IF(I352=O352,"",IF(V352="",0,(P352+Q352+S352-O352)/(I352-O352)))</f>
        <v>0.7727272727272727</v>
      </c>
      <c r="X352" s="30"/>
      <c r="Y352" s="30"/>
      <c r="Z352" s="30"/>
      <c r="AA352" s="30"/>
      <c r="AB352" s="34"/>
      <c r="AC352" s="30"/>
      <c r="AD352" s="30"/>
      <c r="AE352" s="30"/>
      <c r="AF352" s="30"/>
      <c r="AG352" s="30"/>
      <c r="AH352" s="30"/>
      <c r="AI352" s="30"/>
      <c r="AJ352" s="30"/>
      <c r="AK352" s="30"/>
      <c r="AL352" s="30"/>
      <c r="AM352" s="30"/>
      <c r="AN352" s="30"/>
      <c r="AO352" s="30"/>
    </row>
    <row r="353" spans="1:41" s="39" customFormat="1" ht="25.5" customHeight="1">
      <c r="A353" s="32"/>
      <c r="B353" s="138" t="s">
        <v>110</v>
      </c>
      <c r="C353" s="105" t="s">
        <v>154</v>
      </c>
      <c r="D353" s="29"/>
      <c r="E353" s="16" t="s">
        <v>27</v>
      </c>
      <c r="F353" s="15"/>
      <c r="G353" s="15"/>
      <c r="H353" s="15"/>
      <c r="I353" s="17"/>
      <c r="J353" s="15"/>
      <c r="K353" s="15"/>
      <c r="L353" s="15"/>
      <c r="M353" s="15"/>
      <c r="N353" s="15"/>
      <c r="O353" s="15"/>
      <c r="P353" s="15"/>
      <c r="Q353" s="15"/>
      <c r="R353" s="15"/>
      <c r="S353" s="15"/>
      <c r="T353" s="15"/>
      <c r="U353" s="15"/>
      <c r="V353" s="18"/>
      <c r="W353" s="18"/>
      <c r="X353" s="30"/>
      <c r="Y353" s="30"/>
      <c r="Z353" s="30"/>
      <c r="AA353" s="30"/>
      <c r="AB353" s="34"/>
      <c r="AC353" s="30"/>
      <c r="AD353" s="30"/>
      <c r="AE353" s="30"/>
      <c r="AF353" s="30"/>
      <c r="AG353" s="30"/>
      <c r="AH353" s="30"/>
      <c r="AI353" s="30"/>
      <c r="AJ353" s="30"/>
      <c r="AK353" s="30"/>
      <c r="AL353" s="30"/>
      <c r="AM353" s="30"/>
      <c r="AN353" s="30"/>
      <c r="AO353" s="30"/>
    </row>
    <row r="354" spans="1:41" s="39" customFormat="1" ht="20.25" customHeight="1">
      <c r="A354" s="32">
        <v>22</v>
      </c>
      <c r="B354" s="139"/>
      <c r="C354" s="106" t="str">
        <f>IF(A354="","VARA",VLOOKUP(A354,'[1]varas'!$A$4:$B$67,2))</f>
        <v>22ª VT Recife</v>
      </c>
      <c r="D354" s="15"/>
      <c r="E354" s="16"/>
      <c r="F354" s="15">
        <f>48+19+14</f>
        <v>81</v>
      </c>
      <c r="G354" s="15">
        <v>10</v>
      </c>
      <c r="H354" s="15">
        <v>9</v>
      </c>
      <c r="I354" s="17">
        <f>SUM(F354:H354)</f>
        <v>100</v>
      </c>
      <c r="J354" s="15">
        <v>29</v>
      </c>
      <c r="K354" s="15">
        <v>5</v>
      </c>
      <c r="L354" s="15">
        <v>10</v>
      </c>
      <c r="M354" s="15">
        <v>4</v>
      </c>
      <c r="N354" s="15">
        <v>0</v>
      </c>
      <c r="O354" s="15">
        <v>19</v>
      </c>
      <c r="P354" s="15">
        <f>SUM(J354:O354)</f>
        <v>67</v>
      </c>
      <c r="Q354" s="15">
        <v>13</v>
      </c>
      <c r="R354" s="15">
        <v>15</v>
      </c>
      <c r="S354" s="15">
        <v>1</v>
      </c>
      <c r="T354" s="15">
        <v>4</v>
      </c>
      <c r="U354" s="15">
        <v>116</v>
      </c>
      <c r="V354" s="18"/>
      <c r="W354" s="18"/>
      <c r="X354" s="30"/>
      <c r="Y354" s="30"/>
      <c r="Z354" s="30"/>
      <c r="AA354" s="30"/>
      <c r="AB354" s="34"/>
      <c r="AC354" s="30"/>
      <c r="AD354" s="30"/>
      <c r="AE354" s="30"/>
      <c r="AF354" s="30"/>
      <c r="AG354" s="30"/>
      <c r="AH354" s="30"/>
      <c r="AI354" s="30"/>
      <c r="AJ354" s="30"/>
      <c r="AK354" s="30"/>
      <c r="AL354" s="30"/>
      <c r="AM354" s="30"/>
      <c r="AN354" s="30"/>
      <c r="AO354" s="30"/>
    </row>
    <row r="355" spans="1:41" s="53" customFormat="1" ht="19.5" customHeight="1">
      <c r="A355" s="47"/>
      <c r="B355" s="134"/>
      <c r="C355" s="106" t="s">
        <v>12</v>
      </c>
      <c r="D355" s="24"/>
      <c r="E355" s="48"/>
      <c r="F355" s="24">
        <f>SUM(F353:F354)</f>
        <v>81</v>
      </c>
      <c r="G355" s="24">
        <f>SUM(G353:G354)</f>
        <v>10</v>
      </c>
      <c r="H355" s="24">
        <f>SUM(H353:H354)</f>
        <v>9</v>
      </c>
      <c r="I355" s="40">
        <f>SUM(F355:H355)</f>
        <v>100</v>
      </c>
      <c r="J355" s="24">
        <f aca="true" t="shared" si="104" ref="J355:O355">SUM(J353:J354)</f>
        <v>29</v>
      </c>
      <c r="K355" s="24">
        <f t="shared" si="104"/>
        <v>5</v>
      </c>
      <c r="L355" s="24">
        <f t="shared" si="104"/>
        <v>10</v>
      </c>
      <c r="M355" s="24">
        <f t="shared" si="104"/>
        <v>4</v>
      </c>
      <c r="N355" s="24">
        <f t="shared" si="104"/>
        <v>0</v>
      </c>
      <c r="O355" s="24">
        <f t="shared" si="104"/>
        <v>19</v>
      </c>
      <c r="P355" s="24">
        <f>SUM(J355:O355)</f>
        <v>67</v>
      </c>
      <c r="Q355" s="24">
        <f>SUM(Q353:Q354)</f>
        <v>13</v>
      </c>
      <c r="R355" s="24">
        <f>SUM(R353:R354)</f>
        <v>15</v>
      </c>
      <c r="S355" s="24">
        <f>SUM(S353:S354)</f>
        <v>1</v>
      </c>
      <c r="T355" s="24">
        <f>SUM(T353:T354)</f>
        <v>4</v>
      </c>
      <c r="U355" s="24">
        <f>SUM(U353:U354)</f>
        <v>116</v>
      </c>
      <c r="V355" s="26">
        <f>IF(I355-Q355=0,"",IF(D355="",(P355+S355)/(I355-Q355),IF(AND(D355&lt;&gt;"",(P355+S355)/(I355-Q355)&gt;=50%),(P355+S355)/(I355-Q355),"")))</f>
        <v>0.7816091954022989</v>
      </c>
      <c r="W355" s="26">
        <f>IF(I355=O355,"",IF(V355="",0,(P355+Q355+S355-O355)/(I355-O355)))</f>
        <v>0.7654320987654321</v>
      </c>
      <c r="X355" s="49"/>
      <c r="Y355" s="49"/>
      <c r="Z355" s="49"/>
      <c r="AA355" s="49"/>
      <c r="AB355" s="50"/>
      <c r="AC355" s="49"/>
      <c r="AD355" s="49"/>
      <c r="AE355" s="49"/>
      <c r="AF355" s="49"/>
      <c r="AG355" s="49"/>
      <c r="AH355" s="49"/>
      <c r="AI355" s="49"/>
      <c r="AJ355" s="49"/>
      <c r="AK355" s="49"/>
      <c r="AL355" s="49"/>
      <c r="AM355" s="49"/>
      <c r="AN355" s="49"/>
      <c r="AO355" s="49"/>
    </row>
    <row r="356" spans="1:41" s="39" customFormat="1" ht="21" customHeight="1">
      <c r="A356" s="32"/>
      <c r="B356" s="138" t="s">
        <v>111</v>
      </c>
      <c r="C356" s="105" t="s">
        <v>2</v>
      </c>
      <c r="D356" s="29" t="s">
        <v>30</v>
      </c>
      <c r="E356" s="16" t="s">
        <v>208</v>
      </c>
      <c r="F356" s="15"/>
      <c r="G356" s="15"/>
      <c r="H356" s="15"/>
      <c r="I356" s="17"/>
      <c r="J356" s="15"/>
      <c r="K356" s="15"/>
      <c r="L356" s="15"/>
      <c r="M356" s="15"/>
      <c r="N356" s="15"/>
      <c r="O356" s="15"/>
      <c r="P356" s="15"/>
      <c r="Q356" s="15"/>
      <c r="R356" s="15"/>
      <c r="S356" s="15"/>
      <c r="T356" s="15"/>
      <c r="U356" s="15"/>
      <c r="V356" s="18"/>
      <c r="W356" s="18"/>
      <c r="X356" s="30"/>
      <c r="Y356" s="30"/>
      <c r="Z356" s="30"/>
      <c r="AA356" s="30"/>
      <c r="AB356" s="34"/>
      <c r="AC356" s="30"/>
      <c r="AD356" s="30"/>
      <c r="AE356" s="30"/>
      <c r="AF356" s="30"/>
      <c r="AG356" s="30"/>
      <c r="AH356" s="30"/>
      <c r="AI356" s="30"/>
      <c r="AJ356" s="30"/>
      <c r="AK356" s="30"/>
      <c r="AL356" s="30"/>
      <c r="AM356" s="30"/>
      <c r="AN356" s="30"/>
      <c r="AO356" s="30"/>
    </row>
    <row r="357" spans="1:41" s="39" customFormat="1" ht="17.25" customHeight="1">
      <c r="A357" s="32">
        <v>18</v>
      </c>
      <c r="B357" s="139"/>
      <c r="C357" s="106" t="str">
        <f>IF(A357="","VARA",VLOOKUP(A357,'[1]varas'!$A$4:$B$67,2))</f>
        <v>18ª VT Recife</v>
      </c>
      <c r="D357" s="29"/>
      <c r="E357" s="16"/>
      <c r="F357" s="15">
        <f>49+8+18</f>
        <v>75</v>
      </c>
      <c r="G357" s="15">
        <v>0</v>
      </c>
      <c r="H357" s="15">
        <v>0</v>
      </c>
      <c r="I357" s="17">
        <f>SUM(F357:H357)</f>
        <v>75</v>
      </c>
      <c r="J357" s="15">
        <v>38</v>
      </c>
      <c r="K357" s="15">
        <v>8</v>
      </c>
      <c r="L357" s="15">
        <v>17</v>
      </c>
      <c r="M357" s="15">
        <v>1</v>
      </c>
      <c r="N357" s="15">
        <v>0</v>
      </c>
      <c r="O357" s="15">
        <v>8</v>
      </c>
      <c r="P357" s="15">
        <f>SUM(J357:O357)</f>
        <v>72</v>
      </c>
      <c r="Q357" s="15">
        <v>3</v>
      </c>
      <c r="R357" s="15">
        <v>0</v>
      </c>
      <c r="S357" s="15">
        <v>0</v>
      </c>
      <c r="T357" s="15">
        <v>0</v>
      </c>
      <c r="U357" s="15">
        <v>85</v>
      </c>
      <c r="V357" s="18"/>
      <c r="W357" s="18"/>
      <c r="X357" s="30"/>
      <c r="Y357" s="30"/>
      <c r="Z357" s="30"/>
      <c r="AA357" s="30"/>
      <c r="AB357" s="34"/>
      <c r="AC357" s="30"/>
      <c r="AD357" s="30"/>
      <c r="AE357" s="30"/>
      <c r="AF357" s="30"/>
      <c r="AG357" s="30"/>
      <c r="AH357" s="30"/>
      <c r="AI357" s="30"/>
      <c r="AJ357" s="30"/>
      <c r="AK357" s="30"/>
      <c r="AL357" s="30"/>
      <c r="AM357" s="30"/>
      <c r="AN357" s="30"/>
      <c r="AO357" s="30"/>
    </row>
    <row r="358" spans="1:41" s="53" customFormat="1" ht="18" customHeight="1">
      <c r="A358" s="47"/>
      <c r="B358" s="134"/>
      <c r="C358" s="106" t="s">
        <v>12</v>
      </c>
      <c r="D358" s="24"/>
      <c r="E358" s="48"/>
      <c r="F358" s="24">
        <f>SUM(F356:F357)</f>
        <v>75</v>
      </c>
      <c r="G358" s="24">
        <f>SUM(G356:G357)</f>
        <v>0</v>
      </c>
      <c r="H358" s="24">
        <f>SUM(H356:H357)</f>
        <v>0</v>
      </c>
      <c r="I358" s="40">
        <f>SUM(F358:H358)</f>
        <v>75</v>
      </c>
      <c r="J358" s="24">
        <f aca="true" t="shared" si="105" ref="J358:O358">SUM(J356:J357)</f>
        <v>38</v>
      </c>
      <c r="K358" s="24">
        <f t="shared" si="105"/>
        <v>8</v>
      </c>
      <c r="L358" s="24">
        <f t="shared" si="105"/>
        <v>17</v>
      </c>
      <c r="M358" s="24">
        <f t="shared" si="105"/>
        <v>1</v>
      </c>
      <c r="N358" s="24">
        <f t="shared" si="105"/>
        <v>0</v>
      </c>
      <c r="O358" s="24">
        <f t="shared" si="105"/>
        <v>8</v>
      </c>
      <c r="P358" s="24">
        <f>SUM(J358:O358)</f>
        <v>72</v>
      </c>
      <c r="Q358" s="24">
        <f>SUM(Q356:Q357)</f>
        <v>3</v>
      </c>
      <c r="R358" s="24">
        <f>SUM(R356:R357)</f>
        <v>0</v>
      </c>
      <c r="S358" s="24">
        <f>SUM(S356:S357)</f>
        <v>0</v>
      </c>
      <c r="T358" s="24">
        <f>SUM(T356:T357)</f>
        <v>0</v>
      </c>
      <c r="U358" s="24">
        <f>SUM(U356:U357)</f>
        <v>85</v>
      </c>
      <c r="V358" s="26">
        <f>IF(I358-Q358=0,"",IF(D358="",(P358+S358)/(I358-Q358),IF(AND(D358&lt;&gt;"",(P358+S358)/(I358-Q358)&gt;=50%),(P358+S358)/(I358-Q358),"")))</f>
        <v>1</v>
      </c>
      <c r="W358" s="26">
        <f>IF(I358=O358,"",IF(V358="",0,(P358+Q358+S358-O358)/(I358-O358)))</f>
        <v>1</v>
      </c>
      <c r="X358" s="49"/>
      <c r="Y358" s="49"/>
      <c r="Z358" s="49"/>
      <c r="AA358" s="49"/>
      <c r="AB358" s="50"/>
      <c r="AC358" s="49"/>
      <c r="AD358" s="49"/>
      <c r="AE358" s="49"/>
      <c r="AF358" s="49"/>
      <c r="AG358" s="49"/>
      <c r="AH358" s="49"/>
      <c r="AI358" s="49"/>
      <c r="AJ358" s="49"/>
      <c r="AK358" s="49"/>
      <c r="AL358" s="49"/>
      <c r="AM358" s="49"/>
      <c r="AN358" s="49"/>
      <c r="AO358" s="49"/>
    </row>
    <row r="359" spans="1:41" s="39" customFormat="1" ht="19.5" customHeight="1">
      <c r="A359" s="32"/>
      <c r="B359" s="130" t="s">
        <v>112</v>
      </c>
      <c r="C359" s="14" t="s">
        <v>156</v>
      </c>
      <c r="D359" s="29"/>
      <c r="E359" s="16" t="s">
        <v>27</v>
      </c>
      <c r="F359" s="15"/>
      <c r="G359" s="15"/>
      <c r="H359" s="15"/>
      <c r="I359" s="17"/>
      <c r="J359" s="15"/>
      <c r="K359" s="15"/>
      <c r="L359" s="15"/>
      <c r="M359" s="15"/>
      <c r="N359" s="15"/>
      <c r="O359" s="15"/>
      <c r="P359" s="15"/>
      <c r="Q359" s="15"/>
      <c r="R359" s="15"/>
      <c r="S359" s="15"/>
      <c r="T359" s="15"/>
      <c r="U359" s="15"/>
      <c r="V359" s="18"/>
      <c r="W359" s="18"/>
      <c r="X359" s="30"/>
      <c r="Y359" s="30"/>
      <c r="Z359" s="30"/>
      <c r="AA359" s="30"/>
      <c r="AB359" s="34"/>
      <c r="AC359" s="30"/>
      <c r="AD359" s="30"/>
      <c r="AE359" s="30"/>
      <c r="AF359" s="30"/>
      <c r="AG359" s="30"/>
      <c r="AH359" s="30"/>
      <c r="AI359" s="30"/>
      <c r="AJ359" s="30"/>
      <c r="AK359" s="30"/>
      <c r="AL359" s="30"/>
      <c r="AM359" s="30"/>
      <c r="AN359" s="30"/>
      <c r="AO359" s="30"/>
    </row>
    <row r="360" spans="1:41" s="39" customFormat="1" ht="19.5" customHeight="1">
      <c r="A360" s="32">
        <v>2</v>
      </c>
      <c r="B360" s="130"/>
      <c r="C360" s="20" t="str">
        <f>IF(A360="","VARA",VLOOKUP(A360,'[1]varas'!$A$4:$B$67,2))</f>
        <v>2ª VT Recife</v>
      </c>
      <c r="D360" s="29"/>
      <c r="E360" s="16"/>
      <c r="F360" s="15">
        <f>53+41+4</f>
        <v>98</v>
      </c>
      <c r="G360" s="15">
        <v>3</v>
      </c>
      <c r="H360" s="15">
        <v>0</v>
      </c>
      <c r="I360" s="17">
        <f>SUM(F360:H360)</f>
        <v>101</v>
      </c>
      <c r="J360" s="15">
        <v>24</v>
      </c>
      <c r="K360" s="15">
        <v>3</v>
      </c>
      <c r="L360" s="15">
        <v>0</v>
      </c>
      <c r="M360" s="15">
        <v>1</v>
      </c>
      <c r="N360" s="15">
        <v>3</v>
      </c>
      <c r="O360" s="15">
        <v>41</v>
      </c>
      <c r="P360" s="15">
        <f>SUM(J360:O360)</f>
        <v>72</v>
      </c>
      <c r="Q360" s="15">
        <v>5</v>
      </c>
      <c r="R360" s="15">
        <v>24</v>
      </c>
      <c r="S360" s="15">
        <v>0</v>
      </c>
      <c r="T360" s="15">
        <v>0</v>
      </c>
      <c r="U360" s="15">
        <v>222</v>
      </c>
      <c r="V360" s="18"/>
      <c r="W360" s="18"/>
      <c r="X360" s="30"/>
      <c r="Y360" s="30"/>
      <c r="Z360" s="30"/>
      <c r="AA360" s="30"/>
      <c r="AB360" s="34"/>
      <c r="AC360" s="30"/>
      <c r="AD360" s="30"/>
      <c r="AE360" s="30"/>
      <c r="AF360" s="30"/>
      <c r="AG360" s="30"/>
      <c r="AH360" s="30"/>
      <c r="AI360" s="30"/>
      <c r="AJ360" s="30"/>
      <c r="AK360" s="30"/>
      <c r="AL360" s="30"/>
      <c r="AM360" s="30"/>
      <c r="AN360" s="30"/>
      <c r="AO360" s="30"/>
    </row>
    <row r="361" spans="1:41" s="39" customFormat="1" ht="19.5" customHeight="1">
      <c r="A361" s="32">
        <v>16</v>
      </c>
      <c r="B361" s="130"/>
      <c r="C361" s="20" t="str">
        <f>IF(A361="","VARA",VLOOKUP(A361,'[1]varas'!$A$4:$B$67,2))</f>
        <v>16ª VT Recife</v>
      </c>
      <c r="D361" s="29"/>
      <c r="E361" s="16"/>
      <c r="F361" s="15">
        <v>0</v>
      </c>
      <c r="G361" s="15">
        <v>0</v>
      </c>
      <c r="H361" s="15">
        <v>0</v>
      </c>
      <c r="I361" s="17">
        <f>SUM(F361:H361)</f>
        <v>0</v>
      </c>
      <c r="J361" s="15">
        <v>0</v>
      </c>
      <c r="K361" s="15">
        <v>0</v>
      </c>
      <c r="L361" s="15">
        <v>0</v>
      </c>
      <c r="M361" s="15">
        <v>0</v>
      </c>
      <c r="N361" s="15">
        <v>0</v>
      </c>
      <c r="O361" s="15">
        <v>0</v>
      </c>
      <c r="P361" s="15">
        <f>SUM(J361:O361)</f>
        <v>0</v>
      </c>
      <c r="Q361" s="15">
        <v>0</v>
      </c>
      <c r="R361" s="15">
        <v>0</v>
      </c>
      <c r="S361" s="15">
        <v>0</v>
      </c>
      <c r="T361" s="15">
        <v>0</v>
      </c>
      <c r="U361" s="15">
        <v>2</v>
      </c>
      <c r="V361" s="18"/>
      <c r="W361" s="18"/>
      <c r="X361" s="30"/>
      <c r="Y361" s="30"/>
      <c r="Z361" s="30"/>
      <c r="AA361" s="30"/>
      <c r="AB361" s="34"/>
      <c r="AC361" s="30"/>
      <c r="AD361" s="30"/>
      <c r="AE361" s="30"/>
      <c r="AF361" s="30"/>
      <c r="AG361" s="30"/>
      <c r="AH361" s="30"/>
      <c r="AI361" s="30"/>
      <c r="AJ361" s="30"/>
      <c r="AK361" s="30"/>
      <c r="AL361" s="30"/>
      <c r="AM361" s="30"/>
      <c r="AN361" s="30"/>
      <c r="AO361" s="30"/>
    </row>
    <row r="362" spans="1:41" s="53" customFormat="1" ht="18.75" customHeight="1">
      <c r="A362" s="47"/>
      <c r="B362" s="137"/>
      <c r="C362" s="20" t="s">
        <v>12</v>
      </c>
      <c r="D362" s="24"/>
      <c r="E362" s="48"/>
      <c r="F362" s="24">
        <f>SUM(F359:F361)</f>
        <v>98</v>
      </c>
      <c r="G362" s="24">
        <f>SUM(G359:G361)</f>
        <v>3</v>
      </c>
      <c r="H362" s="24">
        <f>SUM(H359:H361)</f>
        <v>0</v>
      </c>
      <c r="I362" s="40">
        <f>SUM(F362:H362)</f>
        <v>101</v>
      </c>
      <c r="J362" s="24">
        <f aca="true" t="shared" si="106" ref="J362:O362">SUM(J359:J361)</f>
        <v>24</v>
      </c>
      <c r="K362" s="24">
        <f t="shared" si="106"/>
        <v>3</v>
      </c>
      <c r="L362" s="24">
        <f t="shared" si="106"/>
        <v>0</v>
      </c>
      <c r="M362" s="24">
        <f t="shared" si="106"/>
        <v>1</v>
      </c>
      <c r="N362" s="24">
        <f t="shared" si="106"/>
        <v>3</v>
      </c>
      <c r="O362" s="24">
        <f t="shared" si="106"/>
        <v>41</v>
      </c>
      <c r="P362" s="24">
        <f>SUM(J362:O362)</f>
        <v>72</v>
      </c>
      <c r="Q362" s="24">
        <f>SUM(Q359:Q361)</f>
        <v>5</v>
      </c>
      <c r="R362" s="24">
        <f>SUM(R359:R361)</f>
        <v>24</v>
      </c>
      <c r="S362" s="24">
        <f>SUM(S359:S361)</f>
        <v>0</v>
      </c>
      <c r="T362" s="24">
        <f>SUM(T359:T361)</f>
        <v>0</v>
      </c>
      <c r="U362" s="24">
        <f>SUM(U359:U361)</f>
        <v>224</v>
      </c>
      <c r="V362" s="26">
        <f>IF(I362-Q362=0,"",IF(D362="",(P362+S362)/(I362-Q362),IF(AND(D362&lt;&gt;"",(P362+S362)/(I362-Q362)&gt;=50%),(P362+S362)/(I362-Q362),"")))</f>
        <v>0.75</v>
      </c>
      <c r="W362" s="26">
        <f>IF(I362=O362,"",IF(V362="",0,(P362+Q362+S362-O362)/(I362-O362)))</f>
        <v>0.6</v>
      </c>
      <c r="X362" s="49"/>
      <c r="Y362" s="49"/>
      <c r="Z362" s="49"/>
      <c r="AA362" s="49"/>
      <c r="AB362" s="50"/>
      <c r="AC362" s="49"/>
      <c r="AD362" s="49"/>
      <c r="AE362" s="49"/>
      <c r="AF362" s="49"/>
      <c r="AG362" s="49"/>
      <c r="AH362" s="49"/>
      <c r="AI362" s="49"/>
      <c r="AJ362" s="49"/>
      <c r="AK362" s="49"/>
      <c r="AL362" s="49"/>
      <c r="AM362" s="49"/>
      <c r="AN362" s="49"/>
      <c r="AO362" s="49"/>
    </row>
    <row r="363" spans="1:41" s="39" customFormat="1" ht="20.25" customHeight="1">
      <c r="A363" s="32"/>
      <c r="B363" s="137" t="s">
        <v>113</v>
      </c>
      <c r="C363" s="14" t="s">
        <v>156</v>
      </c>
      <c r="D363" s="29"/>
      <c r="E363" s="16" t="s">
        <v>27</v>
      </c>
      <c r="F363" s="15"/>
      <c r="G363" s="15"/>
      <c r="H363" s="15"/>
      <c r="I363" s="17"/>
      <c r="J363" s="15"/>
      <c r="K363" s="15"/>
      <c r="L363" s="15"/>
      <c r="M363" s="15"/>
      <c r="N363" s="15"/>
      <c r="O363" s="15"/>
      <c r="P363" s="15"/>
      <c r="Q363" s="15"/>
      <c r="R363" s="15"/>
      <c r="S363" s="15"/>
      <c r="T363" s="15"/>
      <c r="U363" s="15"/>
      <c r="V363" s="18"/>
      <c r="W363" s="18"/>
      <c r="X363" s="30"/>
      <c r="Y363" s="30"/>
      <c r="Z363" s="30"/>
      <c r="AA363" s="30"/>
      <c r="AB363" s="34"/>
      <c r="AC363" s="30"/>
      <c r="AD363" s="30"/>
      <c r="AE363" s="30"/>
      <c r="AF363" s="30"/>
      <c r="AG363" s="30"/>
      <c r="AH363" s="30"/>
      <c r="AI363" s="30"/>
      <c r="AJ363" s="30"/>
      <c r="AK363" s="30"/>
      <c r="AL363" s="30"/>
      <c r="AM363" s="30"/>
      <c r="AN363" s="30"/>
      <c r="AO363" s="30"/>
    </row>
    <row r="364" spans="1:41" s="39" customFormat="1" ht="18" customHeight="1">
      <c r="A364" s="32">
        <v>56</v>
      </c>
      <c r="B364" s="137"/>
      <c r="C364" s="20" t="str">
        <f>IF(A364="","VARA",VLOOKUP(A364,'[1]varas'!$A$4:$B$67,2))</f>
        <v>1ª VT Ribeirão</v>
      </c>
      <c r="D364" s="15"/>
      <c r="E364" s="16"/>
      <c r="F364" s="15">
        <f>24+47+9+51</f>
        <v>131</v>
      </c>
      <c r="G364" s="15">
        <v>0</v>
      </c>
      <c r="H364" s="15">
        <v>25</v>
      </c>
      <c r="I364" s="17">
        <f>SUM(F364:H364)</f>
        <v>156</v>
      </c>
      <c r="J364" s="15">
        <v>0</v>
      </c>
      <c r="K364" s="15">
        <v>0</v>
      </c>
      <c r="L364" s="15">
        <v>9</v>
      </c>
      <c r="M364" s="15">
        <v>51</v>
      </c>
      <c r="N364" s="15">
        <v>0</v>
      </c>
      <c r="O364" s="15">
        <v>47</v>
      </c>
      <c r="P364" s="15">
        <f>SUM(J364:O364)</f>
        <v>107</v>
      </c>
      <c r="Q364" s="15">
        <v>10</v>
      </c>
      <c r="R364" s="15">
        <v>39</v>
      </c>
      <c r="S364" s="15">
        <v>0</v>
      </c>
      <c r="T364" s="15">
        <v>0</v>
      </c>
      <c r="U364" s="15">
        <v>201</v>
      </c>
      <c r="V364" s="18"/>
      <c r="W364" s="18"/>
      <c r="X364" s="30"/>
      <c r="Y364" s="30"/>
      <c r="Z364" s="30"/>
      <c r="AA364" s="30"/>
      <c r="AB364" s="34"/>
      <c r="AC364" s="30"/>
      <c r="AD364" s="30"/>
      <c r="AE364" s="30"/>
      <c r="AF364" s="30"/>
      <c r="AG364" s="30"/>
      <c r="AH364" s="30"/>
      <c r="AI364" s="30"/>
      <c r="AJ364" s="30"/>
      <c r="AK364" s="30"/>
      <c r="AL364" s="30"/>
      <c r="AM364" s="30"/>
      <c r="AN364" s="30"/>
      <c r="AO364" s="30"/>
    </row>
    <row r="365" spans="1:41" s="53" customFormat="1" ht="20.25" customHeight="1">
      <c r="A365" s="47"/>
      <c r="B365" s="152"/>
      <c r="C365" s="21" t="s">
        <v>12</v>
      </c>
      <c r="D365" s="51"/>
      <c r="E365" s="52"/>
      <c r="F365" s="24">
        <f>SUM(F363:F364)</f>
        <v>131</v>
      </c>
      <c r="G365" s="24">
        <f>SUM(G363:G364)</f>
        <v>0</v>
      </c>
      <c r="H365" s="24">
        <f>SUM(H363:H364)</f>
        <v>25</v>
      </c>
      <c r="I365" s="25">
        <f>SUM(F365:H365)</f>
        <v>156</v>
      </c>
      <c r="J365" s="24">
        <f aca="true" t="shared" si="107" ref="J365:O365">SUM(J363:J364)</f>
        <v>0</v>
      </c>
      <c r="K365" s="24">
        <f t="shared" si="107"/>
        <v>0</v>
      </c>
      <c r="L365" s="24">
        <f t="shared" si="107"/>
        <v>9</v>
      </c>
      <c r="M365" s="24">
        <f t="shared" si="107"/>
        <v>51</v>
      </c>
      <c r="N365" s="24">
        <f t="shared" si="107"/>
        <v>0</v>
      </c>
      <c r="O365" s="24">
        <f t="shared" si="107"/>
        <v>47</v>
      </c>
      <c r="P365" s="24">
        <f>SUM(J365:O365)</f>
        <v>107</v>
      </c>
      <c r="Q365" s="24">
        <f>SUM(Q363:Q364)</f>
        <v>10</v>
      </c>
      <c r="R365" s="24">
        <f>SUM(R363:R364)</f>
        <v>39</v>
      </c>
      <c r="S365" s="24">
        <f>SUM(S363:S364)</f>
        <v>0</v>
      </c>
      <c r="T365" s="24">
        <f>SUM(T363:T364)</f>
        <v>0</v>
      </c>
      <c r="U365" s="24">
        <f>SUM(U363:U364)</f>
        <v>201</v>
      </c>
      <c r="V365" s="26">
        <f>IF(I365-Q365=0,"",IF(D365="",(P365+S365)/(I365-Q365),IF(AND(D365&lt;&gt;"",(P365+S365)/(I365-Q365)&gt;=50%),(P365+S365)/(I365-Q365),"")))</f>
        <v>0.7328767123287672</v>
      </c>
      <c r="W365" s="26">
        <f>IF(I365=O365,"",IF(V365="",0,(P365+Q365+S365-O365)/(I365-O365)))</f>
        <v>0.6422018348623854</v>
      </c>
      <c r="X365" s="49"/>
      <c r="Y365" s="49"/>
      <c r="Z365" s="49"/>
      <c r="AA365" s="49"/>
      <c r="AB365" s="50"/>
      <c r="AC365" s="49"/>
      <c r="AD365" s="49"/>
      <c r="AE365" s="49"/>
      <c r="AF365" s="49"/>
      <c r="AG365" s="49"/>
      <c r="AH365" s="49"/>
      <c r="AI365" s="49"/>
      <c r="AJ365" s="49"/>
      <c r="AK365" s="49"/>
      <c r="AL365" s="49"/>
      <c r="AM365" s="49"/>
      <c r="AN365" s="49"/>
      <c r="AO365" s="49"/>
    </row>
    <row r="366" spans="1:41" s="39" customFormat="1" ht="23.25" customHeight="1">
      <c r="A366" s="32"/>
      <c r="B366" s="138" t="s">
        <v>114</v>
      </c>
      <c r="C366" s="105" t="s">
        <v>2</v>
      </c>
      <c r="D366" s="29"/>
      <c r="E366" s="16" t="s">
        <v>27</v>
      </c>
      <c r="F366" s="15"/>
      <c r="G366" s="15"/>
      <c r="H366" s="15"/>
      <c r="I366" s="17"/>
      <c r="J366" s="15"/>
      <c r="K366" s="15"/>
      <c r="L366" s="15"/>
      <c r="M366" s="15"/>
      <c r="N366" s="15"/>
      <c r="O366" s="15"/>
      <c r="P366" s="15"/>
      <c r="Q366" s="15"/>
      <c r="R366" s="15"/>
      <c r="S366" s="15"/>
      <c r="T366" s="15"/>
      <c r="U366" s="15"/>
      <c r="V366" s="18"/>
      <c r="W366" s="18"/>
      <c r="X366" s="30"/>
      <c r="Y366" s="30"/>
      <c r="Z366" s="30"/>
      <c r="AA366" s="30"/>
      <c r="AB366" s="34"/>
      <c r="AC366" s="30"/>
      <c r="AD366" s="30"/>
      <c r="AE366" s="30"/>
      <c r="AF366" s="30"/>
      <c r="AG366" s="30"/>
      <c r="AH366" s="30"/>
      <c r="AI366" s="30"/>
      <c r="AJ366" s="30"/>
      <c r="AK366" s="30"/>
      <c r="AL366" s="30"/>
      <c r="AM366" s="30"/>
      <c r="AN366" s="30"/>
      <c r="AO366" s="30"/>
    </row>
    <row r="367" spans="1:41" s="39" customFormat="1" ht="19.5" customHeight="1">
      <c r="A367" s="32">
        <v>9</v>
      </c>
      <c r="B367" s="139"/>
      <c r="C367" s="106" t="str">
        <f>IF(A367="","VARA",VLOOKUP(A367,'[1]varas'!$A$4:$B$67,2))</f>
        <v>9ª VT Recife</v>
      </c>
      <c r="D367" s="15"/>
      <c r="E367" s="16"/>
      <c r="F367" s="15">
        <f>41+25+8+3</f>
        <v>77</v>
      </c>
      <c r="G367" s="15">
        <v>6</v>
      </c>
      <c r="H367" s="15">
        <v>10</v>
      </c>
      <c r="I367" s="17">
        <f>SUM(F367:H367)</f>
        <v>93</v>
      </c>
      <c r="J367" s="15">
        <v>26</v>
      </c>
      <c r="K367" s="15">
        <v>11</v>
      </c>
      <c r="L367" s="15">
        <v>8</v>
      </c>
      <c r="M367" s="15">
        <v>3</v>
      </c>
      <c r="N367" s="15">
        <v>0</v>
      </c>
      <c r="O367" s="15">
        <v>25</v>
      </c>
      <c r="P367" s="15">
        <f>SUM(J367:O367)</f>
        <v>73</v>
      </c>
      <c r="Q367" s="15">
        <v>18</v>
      </c>
      <c r="R367" s="15">
        <v>2</v>
      </c>
      <c r="S367" s="15">
        <v>0</v>
      </c>
      <c r="T367" s="15">
        <v>0</v>
      </c>
      <c r="U367" s="15">
        <v>174</v>
      </c>
      <c r="V367" s="18"/>
      <c r="W367" s="18"/>
      <c r="X367" s="30"/>
      <c r="Y367" s="30"/>
      <c r="Z367" s="30"/>
      <c r="AA367" s="30"/>
      <c r="AB367" s="34"/>
      <c r="AC367" s="30"/>
      <c r="AD367" s="30"/>
      <c r="AE367" s="30"/>
      <c r="AF367" s="30"/>
      <c r="AG367" s="30"/>
      <c r="AH367" s="30"/>
      <c r="AI367" s="30"/>
      <c r="AJ367" s="30"/>
      <c r="AK367" s="30"/>
      <c r="AL367" s="30"/>
      <c r="AM367" s="30"/>
      <c r="AN367" s="30"/>
      <c r="AO367" s="30"/>
    </row>
    <row r="368" spans="1:41" s="53" customFormat="1" ht="22.5" customHeight="1">
      <c r="A368" s="47"/>
      <c r="B368" s="134"/>
      <c r="C368" s="107" t="s">
        <v>12</v>
      </c>
      <c r="D368" s="51"/>
      <c r="E368" s="52"/>
      <c r="F368" s="24">
        <f>SUM(F366:F367)</f>
        <v>77</v>
      </c>
      <c r="G368" s="24">
        <f>SUM(G366:G367)</f>
        <v>6</v>
      </c>
      <c r="H368" s="24">
        <f>SUM(H366:H367)</f>
        <v>10</v>
      </c>
      <c r="I368" s="25">
        <f>SUM(F368:H368)</f>
        <v>93</v>
      </c>
      <c r="J368" s="24">
        <f aca="true" t="shared" si="108" ref="J368:O368">SUM(J366:J367)</f>
        <v>26</v>
      </c>
      <c r="K368" s="24">
        <f t="shared" si="108"/>
        <v>11</v>
      </c>
      <c r="L368" s="24">
        <f t="shared" si="108"/>
        <v>8</v>
      </c>
      <c r="M368" s="24">
        <f t="shared" si="108"/>
        <v>3</v>
      </c>
      <c r="N368" s="24">
        <f t="shared" si="108"/>
        <v>0</v>
      </c>
      <c r="O368" s="24">
        <f t="shared" si="108"/>
        <v>25</v>
      </c>
      <c r="P368" s="24">
        <f>SUM(J368:O368)</f>
        <v>73</v>
      </c>
      <c r="Q368" s="24">
        <f>SUM(Q366:Q367)</f>
        <v>18</v>
      </c>
      <c r="R368" s="24">
        <f>SUM(R366:R367)</f>
        <v>2</v>
      </c>
      <c r="S368" s="24">
        <f>SUM(S366:S367)</f>
        <v>0</v>
      </c>
      <c r="T368" s="24">
        <f>SUM(T366:T367)</f>
        <v>0</v>
      </c>
      <c r="U368" s="24">
        <f>SUM(U366:U367)</f>
        <v>174</v>
      </c>
      <c r="V368" s="26">
        <f>IF(I368-Q368=0,"",IF(D368="",(P368+S368)/(I368-Q368),IF(AND(D368&lt;&gt;"",(P368+S368)/(I368-Q368)&gt;=50%),(P368+S368)/(I368-Q368),"")))</f>
        <v>0.9733333333333334</v>
      </c>
      <c r="W368" s="26">
        <f>IF(I368=O368,"",IF(V368="",0,(P368+Q368+S368-O368)/(I368-O368)))</f>
        <v>0.9705882352941176</v>
      </c>
      <c r="X368" s="49"/>
      <c r="Y368" s="49"/>
      <c r="Z368" s="49"/>
      <c r="AA368" s="49"/>
      <c r="AB368" s="50"/>
      <c r="AC368" s="49"/>
      <c r="AD368" s="49"/>
      <c r="AE368" s="49"/>
      <c r="AF368" s="49"/>
      <c r="AG368" s="49"/>
      <c r="AH368" s="49"/>
      <c r="AI368" s="49"/>
      <c r="AJ368" s="49"/>
      <c r="AK368" s="49"/>
      <c r="AL368" s="49"/>
      <c r="AM368" s="49"/>
      <c r="AN368" s="49"/>
      <c r="AO368" s="49"/>
    </row>
    <row r="369" spans="1:41" s="39" customFormat="1" ht="24" customHeight="1">
      <c r="A369" s="32"/>
      <c r="B369" s="138" t="s">
        <v>115</v>
      </c>
      <c r="C369" s="105" t="s">
        <v>156</v>
      </c>
      <c r="D369" s="29" t="s">
        <v>239</v>
      </c>
      <c r="E369" s="16" t="s">
        <v>240</v>
      </c>
      <c r="F369" s="15"/>
      <c r="G369" s="15"/>
      <c r="H369" s="15"/>
      <c r="I369" s="17"/>
      <c r="J369" s="15"/>
      <c r="K369" s="15"/>
      <c r="L369" s="15"/>
      <c r="M369" s="15"/>
      <c r="N369" s="15"/>
      <c r="O369" s="15"/>
      <c r="P369" s="15"/>
      <c r="Q369" s="15"/>
      <c r="R369" s="15"/>
      <c r="S369" s="15"/>
      <c r="T369" s="15"/>
      <c r="U369" s="15"/>
      <c r="V369" s="18"/>
      <c r="W369" s="18"/>
      <c r="X369" s="30"/>
      <c r="Y369" s="30"/>
      <c r="Z369" s="30"/>
      <c r="AA369" s="30"/>
      <c r="AB369" s="34"/>
      <c r="AC369" s="30"/>
      <c r="AD369" s="30"/>
      <c r="AE369" s="30"/>
      <c r="AF369" s="30"/>
      <c r="AG369" s="30"/>
      <c r="AH369" s="30"/>
      <c r="AI369" s="30"/>
      <c r="AJ369" s="30"/>
      <c r="AK369" s="30"/>
      <c r="AL369" s="30"/>
      <c r="AM369" s="30"/>
      <c r="AN369" s="30"/>
      <c r="AO369" s="30"/>
    </row>
    <row r="370" spans="1:41" s="39" customFormat="1" ht="20.25" customHeight="1">
      <c r="A370" s="32">
        <v>14</v>
      </c>
      <c r="B370" s="139"/>
      <c r="C370" s="106" t="str">
        <f>IF(A370="","VARA",VLOOKUP(A370,'[1]varas'!$A$4:$B$67,2))</f>
        <v>14ª VT Recife</v>
      </c>
      <c r="D370" s="15"/>
      <c r="E370" s="16"/>
      <c r="F370" s="15">
        <f>30+4</f>
        <v>34</v>
      </c>
      <c r="G370" s="15">
        <v>6</v>
      </c>
      <c r="H370" s="15">
        <v>4</v>
      </c>
      <c r="I370" s="17">
        <f>SUM(F370:H370)</f>
        <v>44</v>
      </c>
      <c r="J370" s="15">
        <v>30</v>
      </c>
      <c r="K370" s="15">
        <v>2</v>
      </c>
      <c r="L370" s="15">
        <v>3</v>
      </c>
      <c r="M370" s="15">
        <v>1</v>
      </c>
      <c r="N370" s="15">
        <v>0</v>
      </c>
      <c r="O370" s="15">
        <v>2</v>
      </c>
      <c r="P370" s="15">
        <f>SUM(J370:O370)</f>
        <v>38</v>
      </c>
      <c r="Q370" s="15">
        <v>6</v>
      </c>
      <c r="R370" s="15">
        <v>0</v>
      </c>
      <c r="S370" s="15">
        <v>0</v>
      </c>
      <c r="T370" s="15">
        <v>0</v>
      </c>
      <c r="U370" s="15">
        <v>33</v>
      </c>
      <c r="V370" s="18"/>
      <c r="W370" s="18"/>
      <c r="X370" s="30"/>
      <c r="Y370" s="30"/>
      <c r="Z370" s="30"/>
      <c r="AA370" s="30"/>
      <c r="AB370" s="34"/>
      <c r="AC370" s="30"/>
      <c r="AD370" s="30"/>
      <c r="AE370" s="30"/>
      <c r="AF370" s="30"/>
      <c r="AG370" s="30"/>
      <c r="AH370" s="30"/>
      <c r="AI370" s="30"/>
      <c r="AJ370" s="30"/>
      <c r="AK370" s="30"/>
      <c r="AL370" s="30"/>
      <c r="AM370" s="30"/>
      <c r="AN370" s="30"/>
      <c r="AO370" s="30"/>
    </row>
    <row r="371" spans="1:41" s="53" customFormat="1" ht="21" customHeight="1">
      <c r="A371" s="47"/>
      <c r="B371" s="134"/>
      <c r="C371" s="107" t="s">
        <v>12</v>
      </c>
      <c r="D371" s="51"/>
      <c r="E371" s="52"/>
      <c r="F371" s="24">
        <f>SUM(F369:F370)</f>
        <v>34</v>
      </c>
      <c r="G371" s="24">
        <f>SUM(G369:G370)</f>
        <v>6</v>
      </c>
      <c r="H371" s="24">
        <f>SUM(H369:H370)</f>
        <v>4</v>
      </c>
      <c r="I371" s="25">
        <f>SUM(F371:H371)</f>
        <v>44</v>
      </c>
      <c r="J371" s="24">
        <f aca="true" t="shared" si="109" ref="J371:O371">SUM(J369:J370)</f>
        <v>30</v>
      </c>
      <c r="K371" s="24">
        <f t="shared" si="109"/>
        <v>2</v>
      </c>
      <c r="L371" s="24">
        <f t="shared" si="109"/>
        <v>3</v>
      </c>
      <c r="M371" s="24">
        <f t="shared" si="109"/>
        <v>1</v>
      </c>
      <c r="N371" s="24">
        <f t="shared" si="109"/>
        <v>0</v>
      </c>
      <c r="O371" s="24">
        <f t="shared" si="109"/>
        <v>2</v>
      </c>
      <c r="P371" s="24">
        <f>SUM(J371:O371)</f>
        <v>38</v>
      </c>
      <c r="Q371" s="24">
        <f>SUM(Q369:Q370)</f>
        <v>6</v>
      </c>
      <c r="R371" s="24">
        <f>SUM(R369:R370)</f>
        <v>0</v>
      </c>
      <c r="S371" s="24">
        <f>SUM(S369:S370)</f>
        <v>0</v>
      </c>
      <c r="T371" s="24">
        <f>SUM(T369:T370)</f>
        <v>0</v>
      </c>
      <c r="U371" s="24">
        <f>SUM(U369:U370)</f>
        <v>33</v>
      </c>
      <c r="V371" s="26">
        <f>IF(I371-Q371=0,"",IF(D371="",(P371+S371)/(I371-Q371),IF(AND(D371&lt;&gt;"",(P371+S371)/(I371-Q371)&gt;=50%),(P371+S371)/(I371-Q371),"")))</f>
        <v>1</v>
      </c>
      <c r="W371" s="26">
        <f>IF(I371=O371,"",IF(V371="",0,(P371+Q371+S371-O371)/(I371-O371)))</f>
        <v>1</v>
      </c>
      <c r="X371" s="49"/>
      <c r="Y371" s="49"/>
      <c r="Z371" s="49"/>
      <c r="AA371" s="49"/>
      <c r="AB371" s="50"/>
      <c r="AC371" s="49"/>
      <c r="AD371" s="49"/>
      <c r="AE371" s="49"/>
      <c r="AF371" s="49"/>
      <c r="AG371" s="49"/>
      <c r="AH371" s="49"/>
      <c r="AI371" s="49"/>
      <c r="AJ371" s="49"/>
      <c r="AK371" s="49"/>
      <c r="AL371" s="49"/>
      <c r="AM371" s="49"/>
      <c r="AN371" s="49"/>
      <c r="AO371" s="49"/>
    </row>
    <row r="372" spans="1:41" s="39" customFormat="1" ht="24.75" customHeight="1">
      <c r="A372" s="32"/>
      <c r="B372" s="130" t="s">
        <v>116</v>
      </c>
      <c r="C372" s="14" t="s">
        <v>154</v>
      </c>
      <c r="D372" s="29" t="s">
        <v>188</v>
      </c>
      <c r="E372" s="16" t="s">
        <v>189</v>
      </c>
      <c r="F372" s="15"/>
      <c r="G372" s="15"/>
      <c r="H372" s="15"/>
      <c r="I372" s="17"/>
      <c r="J372" s="15"/>
      <c r="K372" s="15"/>
      <c r="L372" s="15"/>
      <c r="M372" s="15"/>
      <c r="N372" s="15"/>
      <c r="O372" s="15"/>
      <c r="P372" s="15"/>
      <c r="Q372" s="15"/>
      <c r="R372" s="15"/>
      <c r="S372" s="15"/>
      <c r="T372" s="15"/>
      <c r="U372" s="15"/>
      <c r="V372" s="18"/>
      <c r="W372" s="18"/>
      <c r="X372" s="30"/>
      <c r="Y372" s="30"/>
      <c r="Z372" s="30"/>
      <c r="AA372" s="30"/>
      <c r="AB372" s="34"/>
      <c r="AC372" s="30"/>
      <c r="AD372" s="30"/>
      <c r="AE372" s="30"/>
      <c r="AF372" s="30"/>
      <c r="AG372" s="30"/>
      <c r="AH372" s="30"/>
      <c r="AI372" s="30"/>
      <c r="AJ372" s="30"/>
      <c r="AK372" s="30"/>
      <c r="AL372" s="30"/>
      <c r="AM372" s="30"/>
      <c r="AN372" s="30"/>
      <c r="AO372" s="30"/>
    </row>
    <row r="373" spans="1:41" s="39" customFormat="1" ht="21.75" customHeight="1">
      <c r="A373" s="32">
        <v>8</v>
      </c>
      <c r="B373" s="137"/>
      <c r="C373" s="20" t="str">
        <f>IF(A373="","VARA",VLOOKUP(A373,'[1]varas'!$A$4:$B$67,2))</f>
        <v>8ª VT Recife</v>
      </c>
      <c r="D373" s="15"/>
      <c r="E373" s="16"/>
      <c r="F373" s="15">
        <v>0</v>
      </c>
      <c r="G373" s="15">
        <v>19</v>
      </c>
      <c r="H373" s="15">
        <v>3</v>
      </c>
      <c r="I373" s="17">
        <f>SUM(F373:H373)</f>
        <v>22</v>
      </c>
      <c r="J373" s="15">
        <v>0</v>
      </c>
      <c r="K373" s="15">
        <v>0</v>
      </c>
      <c r="L373" s="15">
        <v>0</v>
      </c>
      <c r="M373" s="15">
        <v>0</v>
      </c>
      <c r="N373" s="15">
        <v>0</v>
      </c>
      <c r="O373" s="15">
        <v>0</v>
      </c>
      <c r="P373" s="15">
        <f>SUM(J373:O373)</f>
        <v>0</v>
      </c>
      <c r="Q373" s="15">
        <v>19</v>
      </c>
      <c r="R373" s="15">
        <v>3</v>
      </c>
      <c r="S373" s="15">
        <v>0</v>
      </c>
      <c r="T373" s="15">
        <v>0</v>
      </c>
      <c r="U373" s="15">
        <v>0</v>
      </c>
      <c r="V373" s="18"/>
      <c r="W373" s="18"/>
      <c r="X373" s="30"/>
      <c r="Y373" s="30"/>
      <c r="Z373" s="30"/>
      <c r="AA373" s="30"/>
      <c r="AB373" s="34"/>
      <c r="AC373" s="30"/>
      <c r="AD373" s="30"/>
      <c r="AE373" s="30"/>
      <c r="AF373" s="30"/>
      <c r="AG373" s="30"/>
      <c r="AH373" s="30"/>
      <c r="AI373" s="30"/>
      <c r="AJ373" s="30"/>
      <c r="AK373" s="30"/>
      <c r="AL373" s="30"/>
      <c r="AM373" s="30"/>
      <c r="AN373" s="30"/>
      <c r="AO373" s="30"/>
    </row>
    <row r="374" spans="1:41" s="39" customFormat="1" ht="21.75" customHeight="1">
      <c r="A374" s="32">
        <v>10</v>
      </c>
      <c r="B374" s="137"/>
      <c r="C374" s="20" t="str">
        <f>IF(A374="","VARA",VLOOKUP(A374,'[1]varas'!$A$4:$B$67,2))</f>
        <v>10ª VT Recife</v>
      </c>
      <c r="D374" s="15"/>
      <c r="E374" s="16"/>
      <c r="F374" s="15">
        <v>0</v>
      </c>
      <c r="G374" s="15">
        <v>0</v>
      </c>
      <c r="H374" s="15">
        <v>1</v>
      </c>
      <c r="I374" s="17">
        <f>SUM(F374:H374)</f>
        <v>1</v>
      </c>
      <c r="J374" s="15">
        <v>0</v>
      </c>
      <c r="K374" s="15">
        <v>0</v>
      </c>
      <c r="L374" s="15">
        <v>0</v>
      </c>
      <c r="M374" s="15">
        <v>0</v>
      </c>
      <c r="N374" s="15">
        <v>0</v>
      </c>
      <c r="O374" s="15">
        <v>0</v>
      </c>
      <c r="P374" s="15">
        <f>SUM(J374:O374)</f>
        <v>0</v>
      </c>
      <c r="Q374" s="15">
        <v>0</v>
      </c>
      <c r="R374" s="15">
        <v>1</v>
      </c>
      <c r="S374" s="15">
        <v>0</v>
      </c>
      <c r="T374" s="15">
        <v>0</v>
      </c>
      <c r="U374" s="15">
        <v>0</v>
      </c>
      <c r="V374" s="18"/>
      <c r="W374" s="18"/>
      <c r="X374" s="30"/>
      <c r="Y374" s="30"/>
      <c r="Z374" s="30"/>
      <c r="AA374" s="30"/>
      <c r="AB374" s="34"/>
      <c r="AC374" s="30"/>
      <c r="AD374" s="30"/>
      <c r="AE374" s="30"/>
      <c r="AF374" s="30"/>
      <c r="AG374" s="30"/>
      <c r="AH374" s="30"/>
      <c r="AI374" s="30"/>
      <c r="AJ374" s="30"/>
      <c r="AK374" s="30"/>
      <c r="AL374" s="30"/>
      <c r="AM374" s="30"/>
      <c r="AN374" s="30"/>
      <c r="AO374" s="30"/>
    </row>
    <row r="375" spans="1:41" s="39" customFormat="1" ht="24.75" customHeight="1">
      <c r="A375" s="32">
        <v>16</v>
      </c>
      <c r="B375" s="137"/>
      <c r="C375" s="20" t="str">
        <f>IF(A375="","VARA",VLOOKUP(A375,'[1]varas'!$A$4:$B$67,2))</f>
        <v>16ª VT Recife</v>
      </c>
      <c r="D375" s="15"/>
      <c r="E375" s="16"/>
      <c r="F375" s="15">
        <v>0</v>
      </c>
      <c r="G375" s="15">
        <v>0</v>
      </c>
      <c r="H375" s="15">
        <v>6</v>
      </c>
      <c r="I375" s="17">
        <f>SUM(F375:H375)</f>
        <v>6</v>
      </c>
      <c r="J375" s="15">
        <v>0</v>
      </c>
      <c r="K375" s="15">
        <v>0</v>
      </c>
      <c r="L375" s="15">
        <v>0</v>
      </c>
      <c r="M375" s="15">
        <v>0</v>
      </c>
      <c r="N375" s="15">
        <v>0</v>
      </c>
      <c r="O375" s="15">
        <v>0</v>
      </c>
      <c r="P375" s="15">
        <f>SUM(J375:O375)</f>
        <v>0</v>
      </c>
      <c r="Q375" s="15">
        <v>0</v>
      </c>
      <c r="R375" s="15">
        <v>6</v>
      </c>
      <c r="S375" s="15">
        <v>0</v>
      </c>
      <c r="T375" s="15">
        <v>0</v>
      </c>
      <c r="U375" s="15">
        <v>0</v>
      </c>
      <c r="V375" s="18"/>
      <c r="W375" s="18"/>
      <c r="X375" s="30"/>
      <c r="Y375" s="30"/>
      <c r="Z375" s="30"/>
      <c r="AA375" s="30"/>
      <c r="AB375" s="34"/>
      <c r="AC375" s="30"/>
      <c r="AD375" s="30"/>
      <c r="AE375" s="30"/>
      <c r="AF375" s="30"/>
      <c r="AG375" s="30"/>
      <c r="AH375" s="30"/>
      <c r="AI375" s="30"/>
      <c r="AJ375" s="30"/>
      <c r="AK375" s="30"/>
      <c r="AL375" s="30"/>
      <c r="AM375" s="30"/>
      <c r="AN375" s="30"/>
      <c r="AO375" s="30"/>
    </row>
    <row r="376" spans="1:41" s="39" customFormat="1" ht="21" customHeight="1">
      <c r="A376" s="32">
        <v>66</v>
      </c>
      <c r="B376" s="137"/>
      <c r="C376" s="20" t="s">
        <v>161</v>
      </c>
      <c r="D376" s="15"/>
      <c r="E376" s="16"/>
      <c r="F376" s="15">
        <v>0</v>
      </c>
      <c r="G376" s="15">
        <v>0</v>
      </c>
      <c r="H376" s="15">
        <v>1</v>
      </c>
      <c r="I376" s="17">
        <f>SUM(F376:H376)</f>
        <v>1</v>
      </c>
      <c r="J376" s="15">
        <v>0</v>
      </c>
      <c r="K376" s="15">
        <v>0</v>
      </c>
      <c r="L376" s="15">
        <v>0</v>
      </c>
      <c r="M376" s="15">
        <v>0</v>
      </c>
      <c r="N376" s="15">
        <v>0</v>
      </c>
      <c r="O376" s="15">
        <v>0</v>
      </c>
      <c r="P376" s="15">
        <f>SUM(J376:O376)</f>
        <v>0</v>
      </c>
      <c r="Q376" s="15">
        <v>0</v>
      </c>
      <c r="R376" s="15">
        <v>1</v>
      </c>
      <c r="S376" s="15">
        <v>0</v>
      </c>
      <c r="T376" s="15">
        <v>0</v>
      </c>
      <c r="U376" s="15">
        <v>0</v>
      </c>
      <c r="V376" s="18"/>
      <c r="W376" s="18"/>
      <c r="X376" s="30"/>
      <c r="Y376" s="30"/>
      <c r="Z376" s="30"/>
      <c r="AA376" s="30"/>
      <c r="AB376" s="34"/>
      <c r="AC376" s="30"/>
      <c r="AD376" s="30"/>
      <c r="AE376" s="30"/>
      <c r="AF376" s="30"/>
      <c r="AG376" s="30"/>
      <c r="AH376" s="30"/>
      <c r="AI376" s="30"/>
      <c r="AJ376" s="30"/>
      <c r="AK376" s="30"/>
      <c r="AL376" s="30"/>
      <c r="AM376" s="30"/>
      <c r="AN376" s="30"/>
      <c r="AO376" s="30"/>
    </row>
    <row r="377" spans="1:41" s="53" customFormat="1" ht="17.25" customHeight="1">
      <c r="A377" s="47"/>
      <c r="B377" s="131"/>
      <c r="C377" s="20" t="s">
        <v>12</v>
      </c>
      <c r="D377" s="24"/>
      <c r="E377" s="48"/>
      <c r="F377" s="24">
        <f>SUM(F372:F376)</f>
        <v>0</v>
      </c>
      <c r="G377" s="24">
        <f>SUM(G372:G376)</f>
        <v>19</v>
      </c>
      <c r="H377" s="24">
        <f>SUM(H372:H376)</f>
        <v>11</v>
      </c>
      <c r="I377" s="40">
        <f>SUM(F377:H377)</f>
        <v>30</v>
      </c>
      <c r="J377" s="24">
        <f aca="true" t="shared" si="110" ref="J377:O377">SUM(J372:J376)</f>
        <v>0</v>
      </c>
      <c r="K377" s="24">
        <f t="shared" si="110"/>
        <v>0</v>
      </c>
      <c r="L377" s="24">
        <f t="shared" si="110"/>
        <v>0</v>
      </c>
      <c r="M377" s="24">
        <f t="shared" si="110"/>
        <v>0</v>
      </c>
      <c r="N377" s="24">
        <f t="shared" si="110"/>
        <v>0</v>
      </c>
      <c r="O377" s="24">
        <f t="shared" si="110"/>
        <v>0</v>
      </c>
      <c r="P377" s="24">
        <f>SUM(J377:O377)</f>
        <v>0</v>
      </c>
      <c r="Q377" s="24">
        <f>SUM(Q372:Q376)</f>
        <v>19</v>
      </c>
      <c r="R377" s="24">
        <f>SUM(R372:R376)</f>
        <v>11</v>
      </c>
      <c r="S377" s="24">
        <f>SUM(S372:S376)</f>
        <v>0</v>
      </c>
      <c r="T377" s="24">
        <f>SUM(T372:T376)</f>
        <v>0</v>
      </c>
      <c r="U377" s="24">
        <f>SUM(U372:U376)</f>
        <v>0</v>
      </c>
      <c r="V377" s="26">
        <f>IF(I377-Q377=0,"",IF(D377="",(P377+S377)/(I377-Q377),IF(AND(D377&lt;&gt;"",(P377+S377)/(I377-Q377)&gt;=50%),(P377+S377)/(I377-Q377),"")))</f>
        <v>0</v>
      </c>
      <c r="W377" s="26">
        <f>IF(I377=O377,"",IF(V377="",0,(P377+Q377+S377-O377)/(I377-O377)))</f>
        <v>0.6333333333333333</v>
      </c>
      <c r="X377" s="49"/>
      <c r="Y377" s="49"/>
      <c r="Z377" s="49"/>
      <c r="AA377" s="49"/>
      <c r="AB377" s="50"/>
      <c r="AC377" s="49"/>
      <c r="AD377" s="49"/>
      <c r="AE377" s="49"/>
      <c r="AF377" s="49"/>
      <c r="AG377" s="49"/>
      <c r="AH377" s="49"/>
      <c r="AI377" s="49"/>
      <c r="AJ377" s="49"/>
      <c r="AK377" s="49"/>
      <c r="AL377" s="49"/>
      <c r="AM377" s="49"/>
      <c r="AN377" s="49"/>
      <c r="AO377" s="49"/>
    </row>
    <row r="378" spans="1:41" s="39" customFormat="1" ht="24.75" customHeight="1">
      <c r="A378" s="32"/>
      <c r="B378" s="138" t="s">
        <v>117</v>
      </c>
      <c r="C378" s="105" t="s">
        <v>2</v>
      </c>
      <c r="D378" s="29"/>
      <c r="E378" s="16" t="s">
        <v>27</v>
      </c>
      <c r="F378" s="15"/>
      <c r="G378" s="15"/>
      <c r="H378" s="15"/>
      <c r="I378" s="17"/>
      <c r="J378" s="15"/>
      <c r="K378" s="15"/>
      <c r="L378" s="15"/>
      <c r="M378" s="15"/>
      <c r="N378" s="15"/>
      <c r="O378" s="15"/>
      <c r="P378" s="15"/>
      <c r="Q378" s="15"/>
      <c r="R378" s="15"/>
      <c r="S378" s="15"/>
      <c r="T378" s="15"/>
      <c r="U378" s="15"/>
      <c r="V378" s="18"/>
      <c r="W378" s="18"/>
      <c r="X378" s="30"/>
      <c r="Y378" s="30"/>
      <c r="Z378" s="30"/>
      <c r="AA378" s="30"/>
      <c r="AB378" s="34"/>
      <c r="AC378" s="30"/>
      <c r="AD378" s="30"/>
      <c r="AE378" s="30"/>
      <c r="AF378" s="30"/>
      <c r="AG378" s="30"/>
      <c r="AH378" s="30"/>
      <c r="AI378" s="30"/>
      <c r="AJ378" s="30"/>
      <c r="AK378" s="30"/>
      <c r="AL378" s="30"/>
      <c r="AM378" s="30"/>
      <c r="AN378" s="30"/>
      <c r="AO378" s="30"/>
    </row>
    <row r="379" spans="1:41" s="39" customFormat="1" ht="20.25" customHeight="1">
      <c r="A379" s="32">
        <v>40</v>
      </c>
      <c r="B379" s="139"/>
      <c r="C379" s="106" t="str">
        <f>IF(A379="","VARA",VLOOKUP(A379,'[1]varas'!$A$4:$B$67,2))</f>
        <v>3ª VT Olinda</v>
      </c>
      <c r="D379" s="15"/>
      <c r="E379" s="16"/>
      <c r="F379" s="15">
        <f>14+13+14</f>
        <v>41</v>
      </c>
      <c r="G379" s="15">
        <v>0</v>
      </c>
      <c r="H379" s="15">
        <v>0</v>
      </c>
      <c r="I379" s="17">
        <f>SUM(F379:H379)</f>
        <v>41</v>
      </c>
      <c r="J379" s="15">
        <v>8</v>
      </c>
      <c r="K379" s="15">
        <v>6</v>
      </c>
      <c r="L379" s="15">
        <v>12</v>
      </c>
      <c r="M379" s="15">
        <v>2</v>
      </c>
      <c r="N379" s="15">
        <v>0</v>
      </c>
      <c r="O379" s="15">
        <v>13</v>
      </c>
      <c r="P379" s="15">
        <f>SUM(J379:O379)</f>
        <v>41</v>
      </c>
      <c r="Q379" s="15">
        <v>0</v>
      </c>
      <c r="R379" s="15">
        <v>0</v>
      </c>
      <c r="S379" s="15">
        <v>0</v>
      </c>
      <c r="T379" s="15">
        <v>0</v>
      </c>
      <c r="U379" s="15">
        <v>59</v>
      </c>
      <c r="V379" s="18"/>
      <c r="W379" s="18"/>
      <c r="X379" s="30"/>
      <c r="Y379" s="30"/>
      <c r="Z379" s="30"/>
      <c r="AA379" s="30"/>
      <c r="AB379" s="34"/>
      <c r="AC379" s="30"/>
      <c r="AD379" s="30"/>
      <c r="AE379" s="30"/>
      <c r="AF379" s="30"/>
      <c r="AG379" s="30"/>
      <c r="AH379" s="30"/>
      <c r="AI379" s="30"/>
      <c r="AJ379" s="30"/>
      <c r="AK379" s="30"/>
      <c r="AL379" s="30"/>
      <c r="AM379" s="30"/>
      <c r="AN379" s="30"/>
      <c r="AO379" s="30"/>
    </row>
    <row r="380" spans="1:41" s="53" customFormat="1" ht="17.25" customHeight="1">
      <c r="A380" s="47"/>
      <c r="B380" s="134"/>
      <c r="C380" s="107" t="s">
        <v>12</v>
      </c>
      <c r="D380" s="51"/>
      <c r="E380" s="52"/>
      <c r="F380" s="24">
        <f>SUM(F378:F379)</f>
        <v>41</v>
      </c>
      <c r="G380" s="24">
        <f>SUM(G378:G379)</f>
        <v>0</v>
      </c>
      <c r="H380" s="24">
        <f>SUM(H378:H379)</f>
        <v>0</v>
      </c>
      <c r="I380" s="25">
        <f>SUM(F380:H380)</f>
        <v>41</v>
      </c>
      <c r="J380" s="24">
        <f aca="true" t="shared" si="111" ref="J380:O380">SUM(J378:J379)</f>
        <v>8</v>
      </c>
      <c r="K380" s="24">
        <f t="shared" si="111"/>
        <v>6</v>
      </c>
      <c r="L380" s="24">
        <f t="shared" si="111"/>
        <v>12</v>
      </c>
      <c r="M380" s="24">
        <f t="shared" si="111"/>
        <v>2</v>
      </c>
      <c r="N380" s="24">
        <f t="shared" si="111"/>
        <v>0</v>
      </c>
      <c r="O380" s="24">
        <f t="shared" si="111"/>
        <v>13</v>
      </c>
      <c r="P380" s="24">
        <f>SUM(J380:O380)</f>
        <v>41</v>
      </c>
      <c r="Q380" s="24">
        <f>SUM(Q378:Q379)</f>
        <v>0</v>
      </c>
      <c r="R380" s="24">
        <f>SUM(R378:R379)</f>
        <v>0</v>
      </c>
      <c r="S380" s="24">
        <f>SUM(S378:S379)</f>
        <v>0</v>
      </c>
      <c r="T380" s="24">
        <f>SUM(T378:T379)</f>
        <v>0</v>
      </c>
      <c r="U380" s="24">
        <f>SUM(U378:U379)</f>
        <v>59</v>
      </c>
      <c r="V380" s="26">
        <f>IF(I380-Q380=0,"",IF(D380="",(P380+S380)/(I380-Q380),IF(AND(D380&lt;&gt;"",(P380+S380)/(I380-Q380)&gt;=50%),(P380+S380)/(I380-Q380),"")))</f>
        <v>1</v>
      </c>
      <c r="W380" s="26">
        <f>IF(I380=O380,"",IF(V380="",0,(P380+Q380+S380-O380)/(I380-O380)))</f>
        <v>1</v>
      </c>
      <c r="X380" s="49"/>
      <c r="Y380" s="49"/>
      <c r="Z380" s="49"/>
      <c r="AA380" s="49"/>
      <c r="AB380" s="50"/>
      <c r="AC380" s="49"/>
      <c r="AD380" s="49"/>
      <c r="AE380" s="49"/>
      <c r="AF380" s="49"/>
      <c r="AG380" s="49"/>
      <c r="AH380" s="49"/>
      <c r="AI380" s="49"/>
      <c r="AJ380" s="49"/>
      <c r="AK380" s="49"/>
      <c r="AL380" s="49"/>
      <c r="AM380" s="49"/>
      <c r="AN380" s="49"/>
      <c r="AO380" s="49"/>
    </row>
    <row r="381" spans="1:41" s="39" customFormat="1" ht="21.75" customHeight="1">
      <c r="A381" s="32"/>
      <c r="B381" s="138" t="s">
        <v>118</v>
      </c>
      <c r="C381" s="105" t="s">
        <v>2</v>
      </c>
      <c r="D381" s="15"/>
      <c r="E381" s="16" t="s">
        <v>27</v>
      </c>
      <c r="F381" s="15"/>
      <c r="G381" s="15"/>
      <c r="H381" s="15"/>
      <c r="I381" s="17"/>
      <c r="J381" s="15"/>
      <c r="K381" s="15"/>
      <c r="L381" s="15"/>
      <c r="M381" s="15"/>
      <c r="N381" s="15"/>
      <c r="O381" s="15"/>
      <c r="P381" s="15"/>
      <c r="Q381" s="15"/>
      <c r="R381" s="15"/>
      <c r="S381" s="15"/>
      <c r="T381" s="15"/>
      <c r="U381" s="15"/>
      <c r="V381" s="18"/>
      <c r="W381" s="18"/>
      <c r="X381" s="30"/>
      <c r="Y381" s="30"/>
      <c r="Z381" s="30"/>
      <c r="AA381" s="30"/>
      <c r="AB381" s="34"/>
      <c r="AC381" s="30"/>
      <c r="AD381" s="30"/>
      <c r="AE381" s="30"/>
      <c r="AF381" s="30"/>
      <c r="AG381" s="30"/>
      <c r="AH381" s="30"/>
      <c r="AI381" s="30"/>
      <c r="AJ381" s="30"/>
      <c r="AK381" s="30"/>
      <c r="AL381" s="30"/>
      <c r="AM381" s="30"/>
      <c r="AN381" s="30"/>
      <c r="AO381" s="30"/>
    </row>
    <row r="382" spans="1:41" s="39" customFormat="1" ht="18.75" customHeight="1">
      <c r="A382" s="32">
        <v>53</v>
      </c>
      <c r="B382" s="139"/>
      <c r="C382" s="106" t="str">
        <f>IF(A382="","VARA",VLOOKUP(A382,'[1]varas'!$A$4:$B$67,2))</f>
        <v>VT Nazaré</v>
      </c>
      <c r="D382" s="15"/>
      <c r="E382" s="16"/>
      <c r="F382" s="15">
        <f>68+81+16+0</f>
        <v>165</v>
      </c>
      <c r="G382" s="15">
        <v>9</v>
      </c>
      <c r="H382" s="15">
        <v>39</v>
      </c>
      <c r="I382" s="17">
        <f>SUM(F382:H382)</f>
        <v>213</v>
      </c>
      <c r="J382" s="15">
        <v>18</v>
      </c>
      <c r="K382" s="15">
        <v>26</v>
      </c>
      <c r="L382" s="15">
        <v>5</v>
      </c>
      <c r="M382" s="15">
        <v>6</v>
      </c>
      <c r="N382" s="15">
        <v>0</v>
      </c>
      <c r="O382" s="15">
        <v>81</v>
      </c>
      <c r="P382" s="15">
        <f>SUM(J382:O382)</f>
        <v>136</v>
      </c>
      <c r="Q382" s="15">
        <v>15</v>
      </c>
      <c r="R382" s="15">
        <v>56</v>
      </c>
      <c r="S382" s="15">
        <v>0</v>
      </c>
      <c r="T382" s="15">
        <v>6</v>
      </c>
      <c r="U382" s="15">
        <v>228</v>
      </c>
      <c r="V382" s="18"/>
      <c r="W382" s="18"/>
      <c r="X382" s="30"/>
      <c r="Y382" s="30"/>
      <c r="Z382" s="30"/>
      <c r="AA382" s="30"/>
      <c r="AB382" s="34"/>
      <c r="AC382" s="30"/>
      <c r="AD382" s="30"/>
      <c r="AE382" s="30"/>
      <c r="AF382" s="30"/>
      <c r="AG382" s="30"/>
      <c r="AH382" s="30"/>
      <c r="AI382" s="30"/>
      <c r="AJ382" s="30"/>
      <c r="AK382" s="30"/>
      <c r="AL382" s="30"/>
      <c r="AM382" s="30"/>
      <c r="AN382" s="30"/>
      <c r="AO382" s="30"/>
    </row>
    <row r="383" spans="1:41" s="53" customFormat="1" ht="20.25" customHeight="1">
      <c r="A383" s="47"/>
      <c r="B383" s="134"/>
      <c r="C383" s="107" t="s">
        <v>12</v>
      </c>
      <c r="D383" s="51"/>
      <c r="E383" s="52"/>
      <c r="F383" s="24">
        <f>SUM(F381:F382)</f>
        <v>165</v>
      </c>
      <c r="G383" s="24">
        <f>SUM(G381:G382)</f>
        <v>9</v>
      </c>
      <c r="H383" s="24">
        <f>SUM(H381:H382)</f>
        <v>39</v>
      </c>
      <c r="I383" s="25">
        <f>SUM(F383:H383)</f>
        <v>213</v>
      </c>
      <c r="J383" s="24">
        <f aca="true" t="shared" si="112" ref="J383:O383">SUM(J381:J382)</f>
        <v>18</v>
      </c>
      <c r="K383" s="24">
        <f t="shared" si="112"/>
        <v>26</v>
      </c>
      <c r="L383" s="24">
        <f t="shared" si="112"/>
        <v>5</v>
      </c>
      <c r="M383" s="24">
        <f t="shared" si="112"/>
        <v>6</v>
      </c>
      <c r="N383" s="24">
        <f t="shared" si="112"/>
        <v>0</v>
      </c>
      <c r="O383" s="24">
        <f t="shared" si="112"/>
        <v>81</v>
      </c>
      <c r="P383" s="24">
        <f>SUM(J383:O383)</f>
        <v>136</v>
      </c>
      <c r="Q383" s="24">
        <f>SUM(Q381:Q382)</f>
        <v>15</v>
      </c>
      <c r="R383" s="24">
        <f>SUM(R381:R382)</f>
        <v>56</v>
      </c>
      <c r="S383" s="24">
        <f>SUM(S381:S382)</f>
        <v>0</v>
      </c>
      <c r="T383" s="24">
        <f>SUM(T381:T382)</f>
        <v>6</v>
      </c>
      <c r="U383" s="24">
        <f>SUM(U381:U382)</f>
        <v>228</v>
      </c>
      <c r="V383" s="26">
        <f>IF(I383-Q383=0,"",IF(D383="",(P383+S383)/(I383-Q383),IF(AND(D383&lt;&gt;"",(P383+S383)/(I383-Q383)&gt;=50%),(P383+S383)/(I383-Q383),"")))</f>
        <v>0.6868686868686869</v>
      </c>
      <c r="W383" s="26">
        <f>IF(I383=O383,"",IF(V383="",0,(P383+Q383+S383-O383)/(I383-O383)))</f>
        <v>0.5303030303030303</v>
      </c>
      <c r="X383" s="49"/>
      <c r="Y383" s="49"/>
      <c r="Z383" s="49"/>
      <c r="AA383" s="49"/>
      <c r="AB383" s="50"/>
      <c r="AC383" s="49"/>
      <c r="AD383" s="49"/>
      <c r="AE383" s="49"/>
      <c r="AF383" s="49"/>
      <c r="AG383" s="49"/>
      <c r="AH383" s="49"/>
      <c r="AI383" s="49"/>
      <c r="AJ383" s="49"/>
      <c r="AK383" s="49"/>
      <c r="AL383" s="49"/>
      <c r="AM383" s="49"/>
      <c r="AN383" s="49"/>
      <c r="AO383" s="49"/>
    </row>
    <row r="384" spans="1:41" s="53" customFormat="1" ht="23.25" customHeight="1">
      <c r="A384" s="47"/>
      <c r="B384" s="138" t="s">
        <v>178</v>
      </c>
      <c r="C384" s="105" t="s">
        <v>154</v>
      </c>
      <c r="D384" s="29" t="s">
        <v>30</v>
      </c>
      <c r="E384" s="16" t="s">
        <v>208</v>
      </c>
      <c r="F384" s="15"/>
      <c r="G384" s="15"/>
      <c r="H384" s="15"/>
      <c r="I384" s="17"/>
      <c r="J384" s="15"/>
      <c r="K384" s="15"/>
      <c r="L384" s="15"/>
      <c r="M384" s="15"/>
      <c r="N384" s="15"/>
      <c r="O384" s="15"/>
      <c r="P384" s="15"/>
      <c r="Q384" s="15"/>
      <c r="R384" s="15"/>
      <c r="S384" s="15"/>
      <c r="T384" s="15"/>
      <c r="U384" s="15"/>
      <c r="V384" s="18"/>
      <c r="W384" s="18"/>
      <c r="X384" s="49"/>
      <c r="Y384" s="49"/>
      <c r="Z384" s="49"/>
      <c r="AA384" s="49"/>
      <c r="AB384" s="50"/>
      <c r="AC384" s="49"/>
      <c r="AD384" s="49"/>
      <c r="AE384" s="49"/>
      <c r="AF384" s="49"/>
      <c r="AG384" s="49"/>
      <c r="AH384" s="49"/>
      <c r="AI384" s="49"/>
      <c r="AJ384" s="49"/>
      <c r="AK384" s="49"/>
      <c r="AL384" s="49"/>
      <c r="AM384" s="49"/>
      <c r="AN384" s="49"/>
      <c r="AO384" s="49"/>
    </row>
    <row r="385" spans="1:41" s="53" customFormat="1" ht="20.25" customHeight="1">
      <c r="A385" s="47">
        <v>63</v>
      </c>
      <c r="B385" s="139"/>
      <c r="C385" s="110" t="str">
        <f>IF(A385="","VARA",VLOOKUP(A385,'[1]varas'!$A$4:$B$67,2))</f>
        <v>PAJT Sertânia</v>
      </c>
      <c r="D385" s="103"/>
      <c r="E385" s="91"/>
      <c r="F385" s="92">
        <f>69+16+5+1</f>
        <v>91</v>
      </c>
      <c r="G385" s="92">
        <v>11</v>
      </c>
      <c r="H385" s="92">
        <v>0</v>
      </c>
      <c r="I385" s="93">
        <f>SUM(F385:H385)</f>
        <v>102</v>
      </c>
      <c r="J385" s="92">
        <v>42</v>
      </c>
      <c r="K385" s="92">
        <v>38</v>
      </c>
      <c r="L385" s="92">
        <v>5</v>
      </c>
      <c r="M385" s="92">
        <v>1</v>
      </c>
      <c r="N385" s="92">
        <v>0</v>
      </c>
      <c r="O385" s="92">
        <v>16</v>
      </c>
      <c r="P385" s="92">
        <f>SUM(J385:O385)</f>
        <v>102</v>
      </c>
      <c r="Q385" s="92">
        <v>0</v>
      </c>
      <c r="R385" s="92">
        <v>0</v>
      </c>
      <c r="S385" s="92">
        <v>0</v>
      </c>
      <c r="T385" s="92">
        <v>0</v>
      </c>
      <c r="U385" s="92">
        <v>97</v>
      </c>
      <c r="V385" s="94"/>
      <c r="W385" s="94"/>
      <c r="X385" s="49"/>
      <c r="Y385" s="49"/>
      <c r="Z385" s="49"/>
      <c r="AA385" s="49"/>
      <c r="AB385" s="50"/>
      <c r="AC385" s="49"/>
      <c r="AD385" s="49"/>
      <c r="AE385" s="49"/>
      <c r="AF385" s="49"/>
      <c r="AG385" s="49"/>
      <c r="AH385" s="49"/>
      <c r="AI385" s="49"/>
      <c r="AJ385" s="49"/>
      <c r="AK385" s="49"/>
      <c r="AL385" s="49"/>
      <c r="AM385" s="49"/>
      <c r="AN385" s="49"/>
      <c r="AO385" s="49"/>
    </row>
    <row r="386" spans="1:41" s="53" customFormat="1" ht="20.25" customHeight="1">
      <c r="A386" s="47">
        <v>58</v>
      </c>
      <c r="B386" s="139"/>
      <c r="C386" s="110" t="str">
        <f>IF(A386="","VARA",VLOOKUP(A386,'[1]varas'!$A$4:$B$67,2))</f>
        <v>VT S.Talhada</v>
      </c>
      <c r="D386" s="103"/>
      <c r="E386" s="91"/>
      <c r="F386" s="92">
        <f>32+60+7+6</f>
        <v>105</v>
      </c>
      <c r="G386" s="92">
        <v>0</v>
      </c>
      <c r="H386" s="92">
        <v>0</v>
      </c>
      <c r="I386" s="93">
        <f>SUM(F386:H386)</f>
        <v>105</v>
      </c>
      <c r="J386" s="92">
        <v>23</v>
      </c>
      <c r="K386" s="92">
        <v>9</v>
      </c>
      <c r="L386" s="92">
        <v>7</v>
      </c>
      <c r="M386" s="92">
        <v>6</v>
      </c>
      <c r="N386" s="92">
        <v>0</v>
      </c>
      <c r="O386" s="92">
        <v>60</v>
      </c>
      <c r="P386" s="92">
        <f>SUM(J386:O386)</f>
        <v>105</v>
      </c>
      <c r="Q386" s="92">
        <v>0</v>
      </c>
      <c r="R386" s="92">
        <v>0</v>
      </c>
      <c r="S386" s="92">
        <v>0</v>
      </c>
      <c r="T386" s="92">
        <v>0</v>
      </c>
      <c r="U386" s="92">
        <v>97</v>
      </c>
      <c r="V386" s="94"/>
      <c r="W386" s="94"/>
      <c r="X386" s="49"/>
      <c r="Y386" s="49"/>
      <c r="Z386" s="49"/>
      <c r="AA386" s="49"/>
      <c r="AB386" s="50"/>
      <c r="AC386" s="49"/>
      <c r="AD386" s="49"/>
      <c r="AE386" s="49"/>
      <c r="AF386" s="49"/>
      <c r="AG386" s="49"/>
      <c r="AH386" s="49"/>
      <c r="AI386" s="49"/>
      <c r="AJ386" s="49"/>
      <c r="AK386" s="49"/>
      <c r="AL386" s="49"/>
      <c r="AM386" s="49"/>
      <c r="AN386" s="49"/>
      <c r="AO386" s="49"/>
    </row>
    <row r="387" spans="1:41" s="53" customFormat="1" ht="20.25" customHeight="1">
      <c r="A387" s="47"/>
      <c r="B387" s="134"/>
      <c r="C387" s="106" t="s">
        <v>12</v>
      </c>
      <c r="D387" s="15"/>
      <c r="E387" s="16"/>
      <c r="F387" s="24">
        <f>SUM(F384:F386)</f>
        <v>196</v>
      </c>
      <c r="G387" s="24">
        <f>SUM(G384:G386)</f>
        <v>11</v>
      </c>
      <c r="H387" s="24">
        <f>SUM(H384:H386)</f>
        <v>0</v>
      </c>
      <c r="I387" s="40">
        <f>SUM(F387:H387)</f>
        <v>207</v>
      </c>
      <c r="J387" s="24">
        <f aca="true" t="shared" si="113" ref="J387:O387">SUM(J384:J386)</f>
        <v>65</v>
      </c>
      <c r="K387" s="24">
        <f t="shared" si="113"/>
        <v>47</v>
      </c>
      <c r="L387" s="24">
        <f t="shared" si="113"/>
        <v>12</v>
      </c>
      <c r="M387" s="24">
        <f t="shared" si="113"/>
        <v>7</v>
      </c>
      <c r="N387" s="24">
        <f t="shared" si="113"/>
        <v>0</v>
      </c>
      <c r="O387" s="24">
        <f t="shared" si="113"/>
        <v>76</v>
      </c>
      <c r="P387" s="24">
        <f>SUM(J387:O387)</f>
        <v>207</v>
      </c>
      <c r="Q387" s="24">
        <f>SUM(Q384:Q386)</f>
        <v>0</v>
      </c>
      <c r="R387" s="24">
        <f>SUM(R384:R386)</f>
        <v>0</v>
      </c>
      <c r="S387" s="24">
        <f>SUM(S384:S386)</f>
        <v>0</v>
      </c>
      <c r="T387" s="24">
        <f>SUM(T384:T386)</f>
        <v>0</v>
      </c>
      <c r="U387" s="99">
        <f>SUM(U384:U386)</f>
        <v>194</v>
      </c>
      <c r="V387" s="26">
        <f>IF(I387-Q387=0,"",IF(D387="",(P387+S387)/(I387-Q387),IF(AND(D387&lt;&gt;"",(P387+S387)/(I387-Q387)&gt;=50%),(P387+S387)/(I387-Q387),"")))</f>
        <v>1</v>
      </c>
      <c r="W387" s="26">
        <f>IF(I387=O387,"",IF(V387="",0,(P387+Q387+S387-O387)/(I387-O387)))</f>
        <v>1</v>
      </c>
      <c r="X387" s="49"/>
      <c r="Y387" s="49"/>
      <c r="Z387" s="49"/>
      <c r="AA387" s="49"/>
      <c r="AB387" s="50"/>
      <c r="AC387" s="49"/>
      <c r="AD387" s="49"/>
      <c r="AE387" s="49"/>
      <c r="AF387" s="49"/>
      <c r="AG387" s="49"/>
      <c r="AH387" s="49"/>
      <c r="AI387" s="49"/>
      <c r="AJ387" s="49"/>
      <c r="AK387" s="49"/>
      <c r="AL387" s="49"/>
      <c r="AM387" s="49"/>
      <c r="AN387" s="49"/>
      <c r="AO387" s="49"/>
    </row>
    <row r="388" spans="1:41" s="39" customFormat="1" ht="24" customHeight="1">
      <c r="A388" s="32"/>
      <c r="B388" s="130" t="s">
        <v>119</v>
      </c>
      <c r="C388" s="14" t="s">
        <v>154</v>
      </c>
      <c r="D388" s="29"/>
      <c r="E388" s="16" t="s">
        <v>27</v>
      </c>
      <c r="F388" s="15"/>
      <c r="G388" s="15"/>
      <c r="H388" s="15"/>
      <c r="I388" s="17"/>
      <c r="J388" s="15"/>
      <c r="K388" s="15"/>
      <c r="L388" s="15"/>
      <c r="M388" s="15"/>
      <c r="N388" s="15"/>
      <c r="O388" s="15"/>
      <c r="P388" s="15"/>
      <c r="Q388" s="15"/>
      <c r="R388" s="15"/>
      <c r="S388" s="15"/>
      <c r="T388" s="15"/>
      <c r="U388" s="15"/>
      <c r="V388" s="18"/>
      <c r="W388" s="18"/>
      <c r="X388" s="30"/>
      <c r="Y388" s="30"/>
      <c r="Z388" s="30"/>
      <c r="AA388" s="30"/>
      <c r="AB388" s="34"/>
      <c r="AC388" s="30"/>
      <c r="AD388" s="30"/>
      <c r="AE388" s="30"/>
      <c r="AF388" s="30"/>
      <c r="AG388" s="30"/>
      <c r="AH388" s="30"/>
      <c r="AI388" s="30"/>
      <c r="AJ388" s="30"/>
      <c r="AK388" s="30"/>
      <c r="AL388" s="30"/>
      <c r="AM388" s="30"/>
      <c r="AN388" s="30"/>
      <c r="AO388" s="30"/>
    </row>
    <row r="389" spans="1:41" s="39" customFormat="1" ht="24" customHeight="1">
      <c r="A389" s="32">
        <v>6</v>
      </c>
      <c r="B389" s="130"/>
      <c r="C389" s="20" t="str">
        <f>IF(A389="","VARA",VLOOKUP(A389,'[1]varas'!$A$4:$B$67,2))</f>
        <v>6ª VT Recife</v>
      </c>
      <c r="D389" s="29"/>
      <c r="E389" s="16"/>
      <c r="F389" s="15">
        <f>33+14+10</f>
        <v>57</v>
      </c>
      <c r="G389" s="15">
        <v>0</v>
      </c>
      <c r="H389" s="15">
        <v>0</v>
      </c>
      <c r="I389" s="17">
        <f aca="true" t="shared" si="114" ref="I389:I394">SUM(F389:H389)</f>
        <v>57</v>
      </c>
      <c r="J389" s="15">
        <v>0</v>
      </c>
      <c r="K389" s="15">
        <v>8</v>
      </c>
      <c r="L389" s="15">
        <v>9</v>
      </c>
      <c r="M389" s="15">
        <v>1</v>
      </c>
      <c r="N389" s="15">
        <v>0</v>
      </c>
      <c r="O389" s="15">
        <v>14</v>
      </c>
      <c r="P389" s="15">
        <f aca="true" t="shared" si="115" ref="P389:P394">SUM(J389:O389)</f>
        <v>32</v>
      </c>
      <c r="Q389" s="15">
        <v>21</v>
      </c>
      <c r="R389" s="15">
        <v>4</v>
      </c>
      <c r="S389" s="15">
        <v>0</v>
      </c>
      <c r="T389" s="15">
        <v>0</v>
      </c>
      <c r="U389" s="15">
        <v>124</v>
      </c>
      <c r="V389" s="18"/>
      <c r="W389" s="18"/>
      <c r="X389" s="30"/>
      <c r="Y389" s="30"/>
      <c r="Z389" s="30"/>
      <c r="AA389" s="30"/>
      <c r="AB389" s="34"/>
      <c r="AC389" s="30"/>
      <c r="AD389" s="30"/>
      <c r="AE389" s="30"/>
      <c r="AF389" s="30"/>
      <c r="AG389" s="30"/>
      <c r="AH389" s="30"/>
      <c r="AI389" s="30"/>
      <c r="AJ389" s="30"/>
      <c r="AK389" s="30"/>
      <c r="AL389" s="30"/>
      <c r="AM389" s="30"/>
      <c r="AN389" s="30"/>
      <c r="AO389" s="30"/>
    </row>
    <row r="390" spans="1:41" s="39" customFormat="1" ht="24" customHeight="1">
      <c r="A390" s="32">
        <v>48</v>
      </c>
      <c r="B390" s="130"/>
      <c r="C390" s="20" t="str">
        <f>IF(A390="","VARA",VLOOKUP(A390,'[1]varas'!$A$4:$B$67,2))</f>
        <v>VT Catende</v>
      </c>
      <c r="D390" s="29"/>
      <c r="E390" s="16"/>
      <c r="F390" s="15">
        <f>24+46+3</f>
        <v>73</v>
      </c>
      <c r="G390" s="15">
        <v>0</v>
      </c>
      <c r="H390" s="15">
        <v>0</v>
      </c>
      <c r="I390" s="17">
        <f t="shared" si="114"/>
        <v>73</v>
      </c>
      <c r="J390" s="15">
        <v>7</v>
      </c>
      <c r="K390" s="15">
        <v>3</v>
      </c>
      <c r="L390" s="15">
        <v>1</v>
      </c>
      <c r="M390" s="15">
        <v>2</v>
      </c>
      <c r="N390" s="15">
        <v>0</v>
      </c>
      <c r="O390" s="15">
        <v>46</v>
      </c>
      <c r="P390" s="15">
        <f t="shared" si="115"/>
        <v>59</v>
      </c>
      <c r="Q390" s="15">
        <v>0</v>
      </c>
      <c r="R390" s="15">
        <v>14</v>
      </c>
      <c r="S390" s="15">
        <v>0</v>
      </c>
      <c r="T390" s="15">
        <v>0</v>
      </c>
      <c r="U390" s="15">
        <v>160</v>
      </c>
      <c r="V390" s="18"/>
      <c r="W390" s="18"/>
      <c r="X390" s="30"/>
      <c r="Y390" s="30"/>
      <c r="Z390" s="30"/>
      <c r="AA390" s="30"/>
      <c r="AB390" s="34"/>
      <c r="AC390" s="30"/>
      <c r="AD390" s="30"/>
      <c r="AE390" s="30"/>
      <c r="AF390" s="30"/>
      <c r="AG390" s="30"/>
      <c r="AH390" s="30"/>
      <c r="AI390" s="30"/>
      <c r="AJ390" s="30"/>
      <c r="AK390" s="30"/>
      <c r="AL390" s="30"/>
      <c r="AM390" s="30"/>
      <c r="AN390" s="30"/>
      <c r="AO390" s="30"/>
    </row>
    <row r="391" spans="1:41" s="39" customFormat="1" ht="21.75" customHeight="1">
      <c r="A391" s="32">
        <v>49</v>
      </c>
      <c r="B391" s="137"/>
      <c r="C391" s="20" t="str">
        <f>IF(A391="","VARA",VLOOKUP(A391,'[1]varas'!$A$4:$B$67,2))</f>
        <v>VT Escada</v>
      </c>
      <c r="D391" s="29"/>
      <c r="E391" s="16"/>
      <c r="F391" s="15">
        <v>0</v>
      </c>
      <c r="G391" s="15">
        <v>0</v>
      </c>
      <c r="H391" s="15">
        <v>1</v>
      </c>
      <c r="I391" s="17">
        <f t="shared" si="114"/>
        <v>1</v>
      </c>
      <c r="J391" s="15">
        <v>1</v>
      </c>
      <c r="K391" s="15">
        <v>0</v>
      </c>
      <c r="L391" s="15">
        <v>0</v>
      </c>
      <c r="M391" s="15">
        <v>0</v>
      </c>
      <c r="N391" s="15">
        <v>0</v>
      </c>
      <c r="O391" s="15">
        <v>0</v>
      </c>
      <c r="P391" s="15">
        <f t="shared" si="115"/>
        <v>1</v>
      </c>
      <c r="Q391" s="15">
        <v>0</v>
      </c>
      <c r="R391" s="15">
        <v>0</v>
      </c>
      <c r="S391" s="15">
        <v>0</v>
      </c>
      <c r="T391" s="15">
        <v>0</v>
      </c>
      <c r="U391" s="15">
        <v>0</v>
      </c>
      <c r="V391" s="18"/>
      <c r="W391" s="18"/>
      <c r="X391" s="30"/>
      <c r="Y391" s="30"/>
      <c r="Z391" s="30"/>
      <c r="AA391" s="30"/>
      <c r="AB391" s="34"/>
      <c r="AC391" s="30"/>
      <c r="AD391" s="30"/>
      <c r="AE391" s="30"/>
      <c r="AF391" s="30"/>
      <c r="AG391" s="30"/>
      <c r="AH391" s="30"/>
      <c r="AI391" s="30"/>
      <c r="AJ391" s="30"/>
      <c r="AK391" s="30"/>
      <c r="AL391" s="30"/>
      <c r="AM391" s="30"/>
      <c r="AN391" s="30"/>
      <c r="AO391" s="30"/>
    </row>
    <row r="392" spans="1:41" s="39" customFormat="1" ht="19.5" customHeight="1">
      <c r="A392" s="32">
        <v>27</v>
      </c>
      <c r="B392" s="137"/>
      <c r="C392" s="20" t="str">
        <f>IF(A392="","VARA",VLOOKUP(A392,'[1]varas'!$A$4:$B$67,2))</f>
        <v>2ª VT Cabo</v>
      </c>
      <c r="D392" s="29"/>
      <c r="E392" s="16"/>
      <c r="F392" s="15">
        <v>0</v>
      </c>
      <c r="G392" s="15">
        <v>4</v>
      </c>
      <c r="H392" s="15">
        <v>10</v>
      </c>
      <c r="I392" s="17">
        <f t="shared" si="114"/>
        <v>14</v>
      </c>
      <c r="J392" s="15">
        <v>14</v>
      </c>
      <c r="K392" s="15">
        <v>0</v>
      </c>
      <c r="L392" s="15">
        <v>0</v>
      </c>
      <c r="M392" s="15">
        <v>0</v>
      </c>
      <c r="N392" s="15">
        <v>0</v>
      </c>
      <c r="O392" s="15">
        <v>0</v>
      </c>
      <c r="P392" s="15">
        <f t="shared" si="115"/>
        <v>14</v>
      </c>
      <c r="Q392" s="15">
        <v>0</v>
      </c>
      <c r="R392" s="15">
        <v>0</v>
      </c>
      <c r="S392" s="15">
        <v>0</v>
      </c>
      <c r="T392" s="15">
        <v>0</v>
      </c>
      <c r="U392" s="15">
        <v>0</v>
      </c>
      <c r="V392" s="18"/>
      <c r="W392" s="18"/>
      <c r="X392" s="30"/>
      <c r="Y392" s="30"/>
      <c r="Z392" s="30"/>
      <c r="AA392" s="30"/>
      <c r="AB392" s="34"/>
      <c r="AC392" s="30"/>
      <c r="AD392" s="30"/>
      <c r="AE392" s="30"/>
      <c r="AF392" s="30"/>
      <c r="AG392" s="30"/>
      <c r="AH392" s="30"/>
      <c r="AI392" s="30"/>
      <c r="AJ392" s="30"/>
      <c r="AK392" s="30"/>
      <c r="AL392" s="30"/>
      <c r="AM392" s="30"/>
      <c r="AN392" s="30"/>
      <c r="AO392" s="30"/>
    </row>
    <row r="393" spans="1:41" s="39" customFormat="1" ht="22.5" customHeight="1">
      <c r="A393" s="32">
        <v>30</v>
      </c>
      <c r="B393" s="137"/>
      <c r="C393" s="20" t="str">
        <f>IF(A393="","VARA",VLOOKUP(A393,'[1]varas'!$A$4:$B$67,2))</f>
        <v>3ª VT Caruaru</v>
      </c>
      <c r="D393" s="29"/>
      <c r="E393" s="16"/>
      <c r="F393" s="15">
        <v>1</v>
      </c>
      <c r="G393" s="15">
        <v>0</v>
      </c>
      <c r="H393" s="15">
        <v>0</v>
      </c>
      <c r="I393" s="17">
        <f t="shared" si="114"/>
        <v>1</v>
      </c>
      <c r="J393" s="15">
        <v>0</v>
      </c>
      <c r="K393" s="15">
        <v>0</v>
      </c>
      <c r="L393" s="15">
        <v>0</v>
      </c>
      <c r="M393" s="15">
        <v>0</v>
      </c>
      <c r="N393" s="15">
        <v>0</v>
      </c>
      <c r="O393" s="15">
        <v>0</v>
      </c>
      <c r="P393" s="15">
        <f t="shared" si="115"/>
        <v>0</v>
      </c>
      <c r="Q393" s="15">
        <v>1</v>
      </c>
      <c r="R393" s="15">
        <v>0</v>
      </c>
      <c r="S393" s="15">
        <v>0</v>
      </c>
      <c r="T393" s="15">
        <v>0</v>
      </c>
      <c r="U393" s="15">
        <v>0</v>
      </c>
      <c r="V393" s="18"/>
      <c r="W393" s="18"/>
      <c r="X393" s="30"/>
      <c r="Y393" s="30"/>
      <c r="Z393" s="30"/>
      <c r="AA393" s="30"/>
      <c r="AB393" s="34"/>
      <c r="AC393" s="30"/>
      <c r="AD393" s="30"/>
      <c r="AE393" s="30"/>
      <c r="AF393" s="30"/>
      <c r="AG393" s="30"/>
      <c r="AH393" s="30"/>
      <c r="AI393" s="30"/>
      <c r="AJ393" s="30"/>
      <c r="AK393" s="30"/>
      <c r="AL393" s="30"/>
      <c r="AM393" s="30"/>
      <c r="AN393" s="30"/>
      <c r="AO393" s="30"/>
    </row>
    <row r="394" spans="1:41" s="39" customFormat="1" ht="21.75" customHeight="1">
      <c r="A394" s="32"/>
      <c r="B394" s="131"/>
      <c r="C394" s="20" t="s">
        <v>12</v>
      </c>
      <c r="D394" s="15"/>
      <c r="E394" s="16"/>
      <c r="F394" s="24">
        <f>SUM(F388:F393)</f>
        <v>131</v>
      </c>
      <c r="G394" s="24">
        <f>SUM(G388:G393)</f>
        <v>4</v>
      </c>
      <c r="H394" s="24">
        <f>SUM(H388:H393)</f>
        <v>11</v>
      </c>
      <c r="I394" s="40">
        <f t="shared" si="114"/>
        <v>146</v>
      </c>
      <c r="J394" s="24">
        <f aca="true" t="shared" si="116" ref="J394:O394">SUM(J388:J393)</f>
        <v>22</v>
      </c>
      <c r="K394" s="24">
        <f t="shared" si="116"/>
        <v>11</v>
      </c>
      <c r="L394" s="24">
        <f t="shared" si="116"/>
        <v>10</v>
      </c>
      <c r="M394" s="24">
        <f t="shared" si="116"/>
        <v>3</v>
      </c>
      <c r="N394" s="24">
        <f t="shared" si="116"/>
        <v>0</v>
      </c>
      <c r="O394" s="24">
        <f t="shared" si="116"/>
        <v>60</v>
      </c>
      <c r="P394" s="24">
        <f t="shared" si="115"/>
        <v>106</v>
      </c>
      <c r="Q394" s="24">
        <f>SUM(Q388:Q393)</f>
        <v>22</v>
      </c>
      <c r="R394" s="24">
        <f>SUM(R388:R393)</f>
        <v>18</v>
      </c>
      <c r="S394" s="24">
        <f>SUM(S388:S393)</f>
        <v>0</v>
      </c>
      <c r="T394" s="24">
        <f>SUM(T388:T393)</f>
        <v>0</v>
      </c>
      <c r="U394" s="99">
        <f>SUM(U391:U393)</f>
        <v>0</v>
      </c>
      <c r="V394" s="26">
        <f>IF(I394-Q394=0,"",IF(D394="",(P394+S394)/(I394-Q394),IF(AND(D394&lt;&gt;"",(P394+S394)/(I394-Q394)&gt;=50%),(P394+S394)/(I394-Q394),"")))</f>
        <v>0.8548387096774194</v>
      </c>
      <c r="W394" s="26">
        <f>IF(I394=O394,"",IF(V394="",0,(P394+Q394+S394-O394)/(I394-O394)))</f>
        <v>0.7906976744186046</v>
      </c>
      <c r="X394" s="30"/>
      <c r="Y394" s="30"/>
      <c r="Z394" s="30"/>
      <c r="AA394" s="30"/>
      <c r="AB394" s="34"/>
      <c r="AC394" s="30"/>
      <c r="AD394" s="30"/>
      <c r="AE394" s="30"/>
      <c r="AF394" s="30"/>
      <c r="AG394" s="30"/>
      <c r="AH394" s="30"/>
      <c r="AI394" s="30"/>
      <c r="AJ394" s="30"/>
      <c r="AK394" s="30"/>
      <c r="AL394" s="30"/>
      <c r="AM394" s="30"/>
      <c r="AN394" s="30"/>
      <c r="AO394" s="30"/>
    </row>
    <row r="395" spans="1:41" s="39" customFormat="1" ht="23.25" customHeight="1">
      <c r="A395" s="32"/>
      <c r="B395" s="138" t="s">
        <v>120</v>
      </c>
      <c r="C395" s="105" t="s">
        <v>2</v>
      </c>
      <c r="D395" s="29" t="s">
        <v>190</v>
      </c>
      <c r="E395" s="16" t="s">
        <v>241</v>
      </c>
      <c r="F395" s="15"/>
      <c r="G395" s="15"/>
      <c r="H395" s="15"/>
      <c r="I395" s="17"/>
      <c r="J395" s="15"/>
      <c r="K395" s="15"/>
      <c r="L395" s="15"/>
      <c r="M395" s="15"/>
      <c r="N395" s="15"/>
      <c r="O395" s="15"/>
      <c r="P395" s="15"/>
      <c r="Q395" s="15"/>
      <c r="R395" s="15"/>
      <c r="S395" s="15"/>
      <c r="T395" s="15"/>
      <c r="U395" s="15"/>
      <c r="V395" s="18"/>
      <c r="W395" s="18"/>
      <c r="X395" s="30"/>
      <c r="Y395" s="30"/>
      <c r="Z395" s="30"/>
      <c r="AA395" s="30"/>
      <c r="AB395" s="34"/>
      <c r="AC395" s="30"/>
      <c r="AD395" s="30"/>
      <c r="AE395" s="30"/>
      <c r="AF395" s="30"/>
      <c r="AG395" s="30"/>
      <c r="AH395" s="30"/>
      <c r="AI395" s="30"/>
      <c r="AJ395" s="30"/>
      <c r="AK395" s="30"/>
      <c r="AL395" s="30"/>
      <c r="AM395" s="30"/>
      <c r="AN395" s="30"/>
      <c r="AO395" s="30"/>
    </row>
    <row r="396" spans="1:41" s="39" customFormat="1" ht="18.75" customHeight="1">
      <c r="A396" s="32">
        <v>49</v>
      </c>
      <c r="B396" s="139"/>
      <c r="C396" s="106" t="str">
        <f>IF(A396="","VARA",VLOOKUP(A396,'[1]varas'!$A$4:$B$67,2))</f>
        <v>VT Escada</v>
      </c>
      <c r="D396" s="15"/>
      <c r="E396" s="16"/>
      <c r="F396" s="15">
        <f>27+35+3</f>
        <v>65</v>
      </c>
      <c r="G396" s="15">
        <v>4</v>
      </c>
      <c r="H396" s="15">
        <v>0</v>
      </c>
      <c r="I396" s="17">
        <f>SUM(F396:H396)</f>
        <v>69</v>
      </c>
      <c r="J396" s="15">
        <v>13</v>
      </c>
      <c r="K396" s="15">
        <v>16</v>
      </c>
      <c r="L396" s="15">
        <v>3</v>
      </c>
      <c r="M396" s="15">
        <v>0</v>
      </c>
      <c r="N396" s="15">
        <v>0</v>
      </c>
      <c r="O396" s="15">
        <v>35</v>
      </c>
      <c r="P396" s="15">
        <f>SUM(J396:O396)</f>
        <v>67</v>
      </c>
      <c r="Q396" s="15">
        <v>2</v>
      </c>
      <c r="R396" s="15">
        <v>0</v>
      </c>
      <c r="S396" s="15">
        <v>0</v>
      </c>
      <c r="T396" s="15">
        <v>0</v>
      </c>
      <c r="U396" s="15">
        <v>98</v>
      </c>
      <c r="V396" s="18"/>
      <c r="W396" s="18"/>
      <c r="X396" s="30"/>
      <c r="Y396" s="30"/>
      <c r="Z396" s="30"/>
      <c r="AA396" s="30"/>
      <c r="AB396" s="34"/>
      <c r="AC396" s="30"/>
      <c r="AD396" s="30"/>
      <c r="AE396" s="30"/>
      <c r="AF396" s="30"/>
      <c r="AG396" s="30"/>
      <c r="AH396" s="30"/>
      <c r="AI396" s="30"/>
      <c r="AJ396" s="30"/>
      <c r="AK396" s="30"/>
      <c r="AL396" s="30"/>
      <c r="AM396" s="30"/>
      <c r="AN396" s="30"/>
      <c r="AO396" s="30"/>
    </row>
    <row r="397" spans="1:41" s="39" customFormat="1" ht="24" customHeight="1">
      <c r="A397" s="32"/>
      <c r="B397" s="134"/>
      <c r="C397" s="107" t="s">
        <v>12</v>
      </c>
      <c r="D397" s="33"/>
      <c r="E397" s="23"/>
      <c r="F397" s="24">
        <f>SUM(F395:F396)</f>
        <v>65</v>
      </c>
      <c r="G397" s="24">
        <f>SUM(G395:G396)</f>
        <v>4</v>
      </c>
      <c r="H397" s="24">
        <f>SUM(H395:H396)</f>
        <v>0</v>
      </c>
      <c r="I397" s="25">
        <f>SUM(F397:H397)</f>
        <v>69</v>
      </c>
      <c r="J397" s="24">
        <f aca="true" t="shared" si="117" ref="J397:O397">SUM(J395:J396)</f>
        <v>13</v>
      </c>
      <c r="K397" s="24">
        <f t="shared" si="117"/>
        <v>16</v>
      </c>
      <c r="L397" s="24">
        <f t="shared" si="117"/>
        <v>3</v>
      </c>
      <c r="M397" s="24">
        <f t="shared" si="117"/>
        <v>0</v>
      </c>
      <c r="N397" s="24">
        <f t="shared" si="117"/>
        <v>0</v>
      </c>
      <c r="O397" s="24">
        <f t="shared" si="117"/>
        <v>35</v>
      </c>
      <c r="P397" s="24">
        <f>SUM(J397:O397)</f>
        <v>67</v>
      </c>
      <c r="Q397" s="24">
        <f>SUM(Q395:Q396)</f>
        <v>2</v>
      </c>
      <c r="R397" s="24">
        <f>SUM(R395:R396)</f>
        <v>0</v>
      </c>
      <c r="S397" s="24">
        <f>SUM(S395:S396)</f>
        <v>0</v>
      </c>
      <c r="T397" s="24">
        <f>SUM(T395:T396)</f>
        <v>0</v>
      </c>
      <c r="U397" s="24">
        <f>SUM(U395:U396)</f>
        <v>98</v>
      </c>
      <c r="V397" s="26">
        <f>IF(I397-Q397=0,"",IF(D397="",(P397+S397)/(I397-Q397),IF(AND(D397&lt;&gt;"",(P397+S397)/(I397-Q397)&gt;=50%),(P397+S397)/(I397-Q397),"")))</f>
        <v>1</v>
      </c>
      <c r="W397" s="26">
        <f>IF(I397=O397,"",IF(V397="",0,(P397+Q397+S397-O397)/(I397-O397)))</f>
        <v>1</v>
      </c>
      <c r="X397" s="30"/>
      <c r="Y397" s="30"/>
      <c r="Z397" s="30"/>
      <c r="AA397" s="30"/>
      <c r="AB397" s="34"/>
      <c r="AC397" s="30"/>
      <c r="AD397" s="30"/>
      <c r="AE397" s="30"/>
      <c r="AF397" s="30"/>
      <c r="AG397" s="30"/>
      <c r="AH397" s="30"/>
      <c r="AI397" s="30"/>
      <c r="AJ397" s="30"/>
      <c r="AK397" s="30"/>
      <c r="AL397" s="30"/>
      <c r="AM397" s="30"/>
      <c r="AN397" s="30"/>
      <c r="AO397" s="30"/>
    </row>
    <row r="398" spans="1:41" s="39" customFormat="1" ht="24" customHeight="1">
      <c r="A398" s="32"/>
      <c r="B398" s="138" t="s">
        <v>121</v>
      </c>
      <c r="C398" s="105" t="s">
        <v>2</v>
      </c>
      <c r="D398" s="29" t="s">
        <v>30</v>
      </c>
      <c r="E398" s="16" t="s">
        <v>208</v>
      </c>
      <c r="F398" s="15"/>
      <c r="G398" s="15"/>
      <c r="H398" s="15"/>
      <c r="I398" s="17"/>
      <c r="J398" s="15"/>
      <c r="K398" s="15"/>
      <c r="L398" s="15"/>
      <c r="M398" s="15"/>
      <c r="N398" s="15"/>
      <c r="O398" s="15"/>
      <c r="P398" s="15"/>
      <c r="Q398" s="15"/>
      <c r="R398" s="15"/>
      <c r="S398" s="15"/>
      <c r="T398" s="15"/>
      <c r="U398" s="15"/>
      <c r="V398" s="18"/>
      <c r="W398" s="18"/>
      <c r="X398" s="30"/>
      <c r="Y398" s="30"/>
      <c r="Z398" s="30"/>
      <c r="AA398" s="30"/>
      <c r="AB398" s="34"/>
      <c r="AC398" s="30"/>
      <c r="AD398" s="30"/>
      <c r="AE398" s="30"/>
      <c r="AF398" s="30"/>
      <c r="AG398" s="30"/>
      <c r="AH398" s="30"/>
      <c r="AI398" s="30"/>
      <c r="AJ398" s="30"/>
      <c r="AK398" s="30"/>
      <c r="AL398" s="30"/>
      <c r="AM398" s="30"/>
      <c r="AN398" s="30"/>
      <c r="AO398" s="30"/>
    </row>
    <row r="399" spans="1:41" s="39" customFormat="1" ht="23.25" customHeight="1">
      <c r="A399" s="32">
        <v>10</v>
      </c>
      <c r="B399" s="142"/>
      <c r="C399" s="106" t="str">
        <f>IF(A399="","VARA",VLOOKUP(A399,'[1]varas'!$A$4:$B$67,2))</f>
        <v>10ª VT Recife</v>
      </c>
      <c r="D399" s="15"/>
      <c r="E399" s="16"/>
      <c r="F399" s="15">
        <f>44+18+11+9</f>
        <v>82</v>
      </c>
      <c r="G399" s="15">
        <v>0</v>
      </c>
      <c r="H399" s="15">
        <v>11</v>
      </c>
      <c r="I399" s="17">
        <f>SUM(F399:H399)</f>
        <v>93</v>
      </c>
      <c r="J399" s="15">
        <v>36</v>
      </c>
      <c r="K399" s="15">
        <v>13</v>
      </c>
      <c r="L399" s="15">
        <v>11</v>
      </c>
      <c r="M399" s="15">
        <v>9</v>
      </c>
      <c r="N399" s="15">
        <v>0</v>
      </c>
      <c r="O399" s="15">
        <v>18</v>
      </c>
      <c r="P399" s="15">
        <f>SUM(J399:O399)</f>
        <v>87</v>
      </c>
      <c r="Q399" s="15">
        <v>0</v>
      </c>
      <c r="R399" s="15">
        <v>6</v>
      </c>
      <c r="S399" s="15">
        <v>0</v>
      </c>
      <c r="T399" s="15">
        <v>0</v>
      </c>
      <c r="U399" s="15">
        <v>130</v>
      </c>
      <c r="V399" s="18"/>
      <c r="W399" s="18"/>
      <c r="X399" s="30"/>
      <c r="Y399" s="30"/>
      <c r="Z399" s="30"/>
      <c r="AA399" s="30"/>
      <c r="AB399" s="34"/>
      <c r="AC399" s="30"/>
      <c r="AD399" s="30"/>
      <c r="AE399" s="30"/>
      <c r="AF399" s="30"/>
      <c r="AG399" s="30"/>
      <c r="AH399" s="30"/>
      <c r="AI399" s="30"/>
      <c r="AJ399" s="30"/>
      <c r="AK399" s="30"/>
      <c r="AL399" s="30"/>
      <c r="AM399" s="30"/>
      <c r="AN399" s="30"/>
      <c r="AO399" s="30"/>
    </row>
    <row r="400" spans="1:41" s="39" customFormat="1" ht="19.5" customHeight="1">
      <c r="A400" s="32"/>
      <c r="B400" s="134"/>
      <c r="C400" s="107" t="s">
        <v>12</v>
      </c>
      <c r="D400" s="33"/>
      <c r="E400" s="23"/>
      <c r="F400" s="24">
        <f>SUM(F398:F399)</f>
        <v>82</v>
      </c>
      <c r="G400" s="24">
        <f>SUM(G398:G399)</f>
        <v>0</v>
      </c>
      <c r="H400" s="24">
        <f>SUM(H398:H399)</f>
        <v>11</v>
      </c>
      <c r="I400" s="40">
        <f>SUM(F400:H400)</f>
        <v>93</v>
      </c>
      <c r="J400" s="24">
        <f aca="true" t="shared" si="118" ref="J400:O400">SUM(J398:J399)</f>
        <v>36</v>
      </c>
      <c r="K400" s="24">
        <f t="shared" si="118"/>
        <v>13</v>
      </c>
      <c r="L400" s="24">
        <f t="shared" si="118"/>
        <v>11</v>
      </c>
      <c r="M400" s="24">
        <f t="shared" si="118"/>
        <v>9</v>
      </c>
      <c r="N400" s="24">
        <f t="shared" si="118"/>
        <v>0</v>
      </c>
      <c r="O400" s="24">
        <f t="shared" si="118"/>
        <v>18</v>
      </c>
      <c r="P400" s="24">
        <f>SUM(J400:O400)</f>
        <v>87</v>
      </c>
      <c r="Q400" s="24">
        <f>SUM(Q398:Q399)</f>
        <v>0</v>
      </c>
      <c r="R400" s="24">
        <f>SUM(R398:R399)</f>
        <v>6</v>
      </c>
      <c r="S400" s="24">
        <f>SUM(S398:S399)</f>
        <v>0</v>
      </c>
      <c r="T400" s="24">
        <f>SUM(T398:T399)</f>
        <v>0</v>
      </c>
      <c r="U400" s="24">
        <f>SUM(U398:U399)</f>
        <v>130</v>
      </c>
      <c r="V400" s="26">
        <f>IF(I400-Q400=0,"",IF(D400="",(P400+S400)/(I400-Q400),IF(AND(D400&lt;&gt;"",(P400+S400)/(I400-Q400)&gt;=50%),(P400+S400)/(I400-Q400),"")))</f>
        <v>0.9354838709677419</v>
      </c>
      <c r="W400" s="26">
        <f>IF(I400=O400,"",IF(V400="",0,(P400+Q400+S400-O400)/(I400-O400)))</f>
        <v>0.92</v>
      </c>
      <c r="X400" s="30"/>
      <c r="Y400" s="30"/>
      <c r="Z400" s="30"/>
      <c r="AA400" s="30"/>
      <c r="AB400" s="34"/>
      <c r="AC400" s="30"/>
      <c r="AD400" s="30"/>
      <c r="AE400" s="30"/>
      <c r="AF400" s="30"/>
      <c r="AG400" s="30"/>
      <c r="AH400" s="30"/>
      <c r="AI400" s="30"/>
      <c r="AJ400" s="30"/>
      <c r="AK400" s="30"/>
      <c r="AL400" s="30"/>
      <c r="AM400" s="30"/>
      <c r="AN400" s="30"/>
      <c r="AO400" s="30"/>
    </row>
    <row r="401" spans="1:41" s="39" customFormat="1" ht="24" customHeight="1">
      <c r="A401" s="32"/>
      <c r="B401" s="130" t="s">
        <v>176</v>
      </c>
      <c r="C401" s="14" t="s">
        <v>156</v>
      </c>
      <c r="D401" s="29"/>
      <c r="E401" s="16" t="s">
        <v>27</v>
      </c>
      <c r="F401" s="15"/>
      <c r="G401" s="15"/>
      <c r="H401" s="15"/>
      <c r="I401" s="17"/>
      <c r="J401" s="15"/>
      <c r="K401" s="15"/>
      <c r="L401" s="15"/>
      <c r="M401" s="15"/>
      <c r="N401" s="15"/>
      <c r="O401" s="15"/>
      <c r="P401" s="15"/>
      <c r="Q401" s="15"/>
      <c r="R401" s="15"/>
      <c r="S401" s="15"/>
      <c r="T401" s="15"/>
      <c r="U401" s="15"/>
      <c r="V401" s="18"/>
      <c r="W401" s="18"/>
      <c r="X401" s="30"/>
      <c r="Y401" s="30"/>
      <c r="Z401" s="30"/>
      <c r="AA401" s="30"/>
      <c r="AB401" s="34"/>
      <c r="AC401" s="30"/>
      <c r="AD401" s="30"/>
      <c r="AE401" s="30"/>
      <c r="AF401" s="30"/>
      <c r="AG401" s="30"/>
      <c r="AH401" s="30"/>
      <c r="AI401" s="30"/>
      <c r="AJ401" s="30"/>
      <c r="AK401" s="30"/>
      <c r="AL401" s="30"/>
      <c r="AM401" s="30"/>
      <c r="AN401" s="30"/>
      <c r="AO401" s="30"/>
    </row>
    <row r="402" spans="1:41" s="39" customFormat="1" ht="19.5" customHeight="1">
      <c r="A402" s="32">
        <v>26</v>
      </c>
      <c r="B402" s="137"/>
      <c r="C402" s="20" t="str">
        <f>IF(A402="","VARA",VLOOKUP(A402,'[1]varas'!$A$4:$B$67,2))</f>
        <v>1ª VT Cabo</v>
      </c>
      <c r="D402" s="29"/>
      <c r="E402" s="16"/>
      <c r="F402" s="15">
        <f>35+15+3</f>
        <v>53</v>
      </c>
      <c r="G402" s="15">
        <v>2</v>
      </c>
      <c r="H402" s="15">
        <v>15</v>
      </c>
      <c r="I402" s="17">
        <f>SUM(F402:H402)</f>
        <v>70</v>
      </c>
      <c r="J402" s="15">
        <v>12</v>
      </c>
      <c r="K402" s="15">
        <v>13</v>
      </c>
      <c r="L402" s="15">
        <v>0</v>
      </c>
      <c r="M402" s="15">
        <v>4</v>
      </c>
      <c r="N402" s="15">
        <v>1</v>
      </c>
      <c r="O402" s="15">
        <v>15</v>
      </c>
      <c r="P402" s="15">
        <f>SUM(J402:O402)</f>
        <v>45</v>
      </c>
      <c r="Q402" s="15">
        <v>13</v>
      </c>
      <c r="R402" s="15">
        <v>12</v>
      </c>
      <c r="S402" s="15">
        <v>0</v>
      </c>
      <c r="T402" s="15">
        <v>0</v>
      </c>
      <c r="U402" s="15">
        <v>121</v>
      </c>
      <c r="V402" s="18"/>
      <c r="W402" s="18"/>
      <c r="X402" s="30"/>
      <c r="Y402" s="30"/>
      <c r="Z402" s="30"/>
      <c r="AA402" s="30"/>
      <c r="AB402" s="34"/>
      <c r="AC402" s="30"/>
      <c r="AD402" s="30"/>
      <c r="AE402" s="30"/>
      <c r="AF402" s="30"/>
      <c r="AG402" s="30"/>
      <c r="AH402" s="30"/>
      <c r="AI402" s="30"/>
      <c r="AJ402" s="30"/>
      <c r="AK402" s="30"/>
      <c r="AL402" s="30"/>
      <c r="AM402" s="30"/>
      <c r="AN402" s="30"/>
      <c r="AO402" s="30"/>
    </row>
    <row r="403" spans="1:41" s="39" customFormat="1" ht="24" customHeight="1">
      <c r="A403" s="32">
        <v>27</v>
      </c>
      <c r="B403" s="137"/>
      <c r="C403" s="20" t="str">
        <f>IF(A403="","VARA",VLOOKUP(A403,'[1]varas'!$A$4:$B$67,2))</f>
        <v>2ª VT Cabo</v>
      </c>
      <c r="D403" s="29"/>
      <c r="E403" s="16"/>
      <c r="F403" s="15">
        <f>28+8+4+5</f>
        <v>45</v>
      </c>
      <c r="G403" s="15">
        <v>6</v>
      </c>
      <c r="H403" s="15">
        <v>5</v>
      </c>
      <c r="I403" s="17">
        <f>SUM(F403:H403)</f>
        <v>56</v>
      </c>
      <c r="J403" s="15">
        <v>12</v>
      </c>
      <c r="K403" s="15">
        <v>10</v>
      </c>
      <c r="L403" s="15">
        <v>4</v>
      </c>
      <c r="M403" s="15">
        <v>5</v>
      </c>
      <c r="N403" s="15">
        <v>0</v>
      </c>
      <c r="O403" s="15">
        <v>8</v>
      </c>
      <c r="P403" s="15">
        <f>SUM(J403:O403)</f>
        <v>39</v>
      </c>
      <c r="Q403" s="15">
        <v>0</v>
      </c>
      <c r="R403" s="15">
        <v>16</v>
      </c>
      <c r="S403" s="15">
        <v>1</v>
      </c>
      <c r="T403" s="15">
        <v>0</v>
      </c>
      <c r="U403" s="15">
        <v>70</v>
      </c>
      <c r="V403" s="18"/>
      <c r="W403" s="18"/>
      <c r="X403" s="30"/>
      <c r="Y403" s="30"/>
      <c r="Z403" s="30"/>
      <c r="AA403" s="30"/>
      <c r="AB403" s="34"/>
      <c r="AC403" s="30"/>
      <c r="AD403" s="30"/>
      <c r="AE403" s="30"/>
      <c r="AF403" s="30"/>
      <c r="AG403" s="30"/>
      <c r="AH403" s="30"/>
      <c r="AI403" s="30"/>
      <c r="AJ403" s="30"/>
      <c r="AK403" s="30"/>
      <c r="AL403" s="30"/>
      <c r="AM403" s="30"/>
      <c r="AN403" s="30"/>
      <c r="AO403" s="30"/>
    </row>
    <row r="404" spans="1:41" s="39" customFormat="1" ht="17.25" customHeight="1">
      <c r="A404" s="32"/>
      <c r="B404" s="131"/>
      <c r="C404" s="20" t="s">
        <v>12</v>
      </c>
      <c r="D404" s="15"/>
      <c r="E404" s="48"/>
      <c r="F404" s="24">
        <f>SUM(F401:F403)</f>
        <v>98</v>
      </c>
      <c r="G404" s="24">
        <f>SUM(G401:G403)</f>
        <v>8</v>
      </c>
      <c r="H404" s="24">
        <f>SUM(H401:H403)</f>
        <v>20</v>
      </c>
      <c r="I404" s="40">
        <f>SUM(F404:H404)</f>
        <v>126</v>
      </c>
      <c r="J404" s="24">
        <f aca="true" t="shared" si="119" ref="J404:O404">SUM(J401:J403)</f>
        <v>24</v>
      </c>
      <c r="K404" s="24">
        <f t="shared" si="119"/>
        <v>23</v>
      </c>
      <c r="L404" s="24">
        <f t="shared" si="119"/>
        <v>4</v>
      </c>
      <c r="M404" s="24">
        <f t="shared" si="119"/>
        <v>9</v>
      </c>
      <c r="N404" s="24">
        <f t="shared" si="119"/>
        <v>1</v>
      </c>
      <c r="O404" s="24">
        <f t="shared" si="119"/>
        <v>23</v>
      </c>
      <c r="P404" s="24">
        <f>SUM(J404:O404)</f>
        <v>84</v>
      </c>
      <c r="Q404" s="24">
        <f>SUM(Q401:Q403)</f>
        <v>13</v>
      </c>
      <c r="R404" s="24">
        <f>SUM(R401:R403)</f>
        <v>28</v>
      </c>
      <c r="S404" s="24">
        <f>SUM(S401:S403)</f>
        <v>1</v>
      </c>
      <c r="T404" s="24">
        <f>SUM(T401:T403)</f>
        <v>0</v>
      </c>
      <c r="U404" s="24">
        <f>SUM(U401:U403)</f>
        <v>191</v>
      </c>
      <c r="V404" s="26">
        <f>IF(I404-Q404=0,"",IF(D404="",(P404+S404)/(I404-Q404),IF(AND(D404&lt;&gt;"",(P404+S404)/(I404-Q404)&gt;=50%),(P404+S404)/(I404-Q404),"")))</f>
        <v>0.7522123893805309</v>
      </c>
      <c r="W404" s="26">
        <f>IF(I404=O404,"",IF(V404="",0,(P404+Q404+S404-O404)/(I404-O404)))</f>
        <v>0.7281553398058253</v>
      </c>
      <c r="X404" s="30"/>
      <c r="Y404" s="30"/>
      <c r="Z404" s="30"/>
      <c r="AA404" s="30"/>
      <c r="AB404" s="34"/>
      <c r="AC404" s="30"/>
      <c r="AD404" s="30"/>
      <c r="AE404" s="30"/>
      <c r="AF404" s="30"/>
      <c r="AG404" s="30"/>
      <c r="AH404" s="30"/>
      <c r="AI404" s="30"/>
      <c r="AJ404" s="30"/>
      <c r="AK404" s="30"/>
      <c r="AL404" s="30"/>
      <c r="AM404" s="30"/>
      <c r="AN404" s="30"/>
      <c r="AO404" s="30"/>
    </row>
    <row r="405" spans="1:41" s="39" customFormat="1" ht="24" customHeight="1">
      <c r="A405" s="32"/>
      <c r="B405" s="138" t="s">
        <v>122</v>
      </c>
      <c r="C405" s="105" t="s">
        <v>156</v>
      </c>
      <c r="D405" s="29" t="s">
        <v>158</v>
      </c>
      <c r="E405" s="16" t="s">
        <v>177</v>
      </c>
      <c r="F405" s="15"/>
      <c r="G405" s="15"/>
      <c r="H405" s="15"/>
      <c r="I405" s="17"/>
      <c r="J405" s="15"/>
      <c r="K405" s="15"/>
      <c r="L405" s="15"/>
      <c r="M405" s="15"/>
      <c r="N405" s="15"/>
      <c r="O405" s="15"/>
      <c r="P405" s="15"/>
      <c r="Q405" s="15"/>
      <c r="R405" s="15"/>
      <c r="S405" s="15"/>
      <c r="T405" s="15"/>
      <c r="U405" s="15"/>
      <c r="V405" s="18"/>
      <c r="W405" s="18"/>
      <c r="X405" s="30"/>
      <c r="Y405" s="30"/>
      <c r="Z405" s="30"/>
      <c r="AA405" s="30"/>
      <c r="AB405" s="34"/>
      <c r="AC405" s="30"/>
      <c r="AD405" s="30"/>
      <c r="AE405" s="30"/>
      <c r="AF405" s="30"/>
      <c r="AG405" s="30"/>
      <c r="AH405" s="30"/>
      <c r="AI405" s="30"/>
      <c r="AJ405" s="30"/>
      <c r="AK405" s="30"/>
      <c r="AL405" s="30"/>
      <c r="AM405" s="30"/>
      <c r="AN405" s="30"/>
      <c r="AO405" s="30"/>
    </row>
    <row r="406" spans="1:41" s="39" customFormat="1" ht="21.75" customHeight="1">
      <c r="A406" s="32">
        <v>37</v>
      </c>
      <c r="B406" s="139"/>
      <c r="C406" s="106" t="str">
        <f>IF(A406="","VARA",VLOOKUP(A406,'[1]varas'!$A$4:$B$67,2))</f>
        <v>4ª VT Jaboatão</v>
      </c>
      <c r="D406" s="29"/>
      <c r="E406" s="16"/>
      <c r="F406" s="15">
        <v>0</v>
      </c>
      <c r="G406" s="15">
        <v>0</v>
      </c>
      <c r="H406" s="15">
        <v>0</v>
      </c>
      <c r="I406" s="17">
        <f>SUM(F406:H406)</f>
        <v>0</v>
      </c>
      <c r="J406" s="15">
        <v>0</v>
      </c>
      <c r="K406" s="15">
        <v>0</v>
      </c>
      <c r="L406" s="15">
        <v>0</v>
      </c>
      <c r="M406" s="15">
        <v>0</v>
      </c>
      <c r="N406" s="15">
        <v>0</v>
      </c>
      <c r="O406" s="15">
        <v>0</v>
      </c>
      <c r="P406" s="15">
        <f>SUM(J406:O406)</f>
        <v>0</v>
      </c>
      <c r="Q406" s="15">
        <v>0</v>
      </c>
      <c r="R406" s="15">
        <v>0</v>
      </c>
      <c r="S406" s="15">
        <v>0</v>
      </c>
      <c r="T406" s="15">
        <v>0</v>
      </c>
      <c r="U406" s="15">
        <v>0</v>
      </c>
      <c r="V406" s="18"/>
      <c r="W406" s="18"/>
      <c r="X406" s="30"/>
      <c r="Y406" s="30"/>
      <c r="Z406" s="30"/>
      <c r="AA406" s="30"/>
      <c r="AB406" s="34"/>
      <c r="AC406" s="30"/>
      <c r="AD406" s="30"/>
      <c r="AE406" s="30"/>
      <c r="AF406" s="30"/>
      <c r="AG406" s="30"/>
      <c r="AH406" s="30"/>
      <c r="AI406" s="30"/>
      <c r="AJ406" s="30"/>
      <c r="AK406" s="30"/>
      <c r="AL406" s="30"/>
      <c r="AM406" s="30"/>
      <c r="AN406" s="30"/>
      <c r="AO406" s="30"/>
    </row>
    <row r="407" spans="1:41" s="39" customFormat="1" ht="15.75" customHeight="1">
      <c r="A407" s="32"/>
      <c r="B407" s="134"/>
      <c r="C407" s="106" t="s">
        <v>12</v>
      </c>
      <c r="D407" s="15"/>
      <c r="E407" s="48"/>
      <c r="F407" s="24">
        <f>SUM(F405:F406)</f>
        <v>0</v>
      </c>
      <c r="G407" s="24">
        <f>SUM(G405:G406)</f>
        <v>0</v>
      </c>
      <c r="H407" s="24">
        <f>SUM(H405:H406)</f>
        <v>0</v>
      </c>
      <c r="I407" s="40">
        <f>SUM(F407:H407)</f>
        <v>0</v>
      </c>
      <c r="J407" s="24">
        <f aca="true" t="shared" si="120" ref="J407:O407">SUM(J405:J406)</f>
        <v>0</v>
      </c>
      <c r="K407" s="24">
        <f t="shared" si="120"/>
        <v>0</v>
      </c>
      <c r="L407" s="24">
        <f t="shared" si="120"/>
        <v>0</v>
      </c>
      <c r="M407" s="24">
        <f t="shared" si="120"/>
        <v>0</v>
      </c>
      <c r="N407" s="24">
        <f t="shared" si="120"/>
        <v>0</v>
      </c>
      <c r="O407" s="24">
        <f t="shared" si="120"/>
        <v>0</v>
      </c>
      <c r="P407" s="24">
        <f>SUM(J407:O407)</f>
        <v>0</v>
      </c>
      <c r="Q407" s="24">
        <f>SUM(Q405:Q406)</f>
        <v>0</v>
      </c>
      <c r="R407" s="24">
        <f>SUM(R405:R406)</f>
        <v>0</v>
      </c>
      <c r="S407" s="24">
        <f>SUM(S405:S406)</f>
        <v>0</v>
      </c>
      <c r="T407" s="24">
        <f>SUM(T405:T406)</f>
        <v>0</v>
      </c>
      <c r="U407" s="24">
        <f>SUM(U405:U406)</f>
        <v>0</v>
      </c>
      <c r="V407" s="26">
        <f>IF(I407-Q407=0,"",IF(D407="",(P407+S407)/(I407-Q407),IF(AND(D407&lt;&gt;"",(P407+S407)/(I407-Q407)&gt;=50%),(P407+S407)/(I407-Q407),"")))</f>
      </c>
      <c r="W407" s="26">
        <f>IF(I407=O407,"",IF(V407="",0,(P407+Q407+S407-O407)/(I407-O407)))</f>
      </c>
      <c r="X407" s="30"/>
      <c r="Y407" s="30"/>
      <c r="Z407" s="30"/>
      <c r="AA407" s="30"/>
      <c r="AB407" s="34"/>
      <c r="AC407" s="30"/>
      <c r="AD407" s="30"/>
      <c r="AE407" s="30"/>
      <c r="AF407" s="30"/>
      <c r="AG407" s="30"/>
      <c r="AH407" s="30"/>
      <c r="AI407" s="30"/>
      <c r="AJ407" s="30"/>
      <c r="AK407" s="30"/>
      <c r="AL407" s="30"/>
      <c r="AM407" s="30"/>
      <c r="AN407" s="30"/>
      <c r="AO407" s="30"/>
    </row>
    <row r="408" spans="1:41" s="39" customFormat="1" ht="28.5" customHeight="1">
      <c r="A408" s="32"/>
      <c r="B408" s="138" t="s">
        <v>123</v>
      </c>
      <c r="C408" s="105" t="s">
        <v>2</v>
      </c>
      <c r="D408" s="29"/>
      <c r="E408" s="16" t="s">
        <v>27</v>
      </c>
      <c r="F408" s="15"/>
      <c r="G408" s="15"/>
      <c r="H408" s="15"/>
      <c r="I408" s="17"/>
      <c r="J408" s="15"/>
      <c r="K408" s="15"/>
      <c r="L408" s="15"/>
      <c r="M408" s="15"/>
      <c r="N408" s="15"/>
      <c r="O408" s="15"/>
      <c r="P408" s="15"/>
      <c r="Q408" s="15"/>
      <c r="R408" s="15"/>
      <c r="S408" s="15"/>
      <c r="T408" s="15"/>
      <c r="U408" s="15"/>
      <c r="V408" s="18"/>
      <c r="W408" s="18"/>
      <c r="X408" s="30"/>
      <c r="Y408" s="30"/>
      <c r="Z408" s="30"/>
      <c r="AA408" s="30"/>
      <c r="AB408" s="34"/>
      <c r="AC408" s="30"/>
      <c r="AD408" s="30"/>
      <c r="AE408" s="30"/>
      <c r="AF408" s="30"/>
      <c r="AG408" s="30"/>
      <c r="AH408" s="30"/>
      <c r="AI408" s="30"/>
      <c r="AJ408" s="30"/>
      <c r="AK408" s="30"/>
      <c r="AL408" s="30"/>
      <c r="AM408" s="30"/>
      <c r="AN408" s="30"/>
      <c r="AO408" s="30"/>
    </row>
    <row r="409" spans="1:41" s="39" customFormat="1" ht="22.5" customHeight="1">
      <c r="A409" s="32">
        <v>65</v>
      </c>
      <c r="B409" s="139"/>
      <c r="C409" s="106" t="str">
        <f>IF(A409="","VARA",VLOOKUP(A409,'[1]varas'!$A$4:$B$76,2))</f>
        <v>3ª VT Ipojuca</v>
      </c>
      <c r="D409" s="15"/>
      <c r="E409" s="16"/>
      <c r="F409" s="15">
        <f>35+17+13</f>
        <v>65</v>
      </c>
      <c r="G409" s="15">
        <v>5</v>
      </c>
      <c r="H409" s="15">
        <v>11</v>
      </c>
      <c r="I409" s="17">
        <f>SUM(F409:H409)</f>
        <v>81</v>
      </c>
      <c r="J409" s="15">
        <v>25</v>
      </c>
      <c r="K409" s="15">
        <v>3</v>
      </c>
      <c r="L409" s="15">
        <v>13</v>
      </c>
      <c r="M409" s="15">
        <v>0</v>
      </c>
      <c r="N409" s="15">
        <v>0</v>
      </c>
      <c r="O409" s="15">
        <v>17</v>
      </c>
      <c r="P409" s="15">
        <f>SUM(J409:O409)</f>
        <v>58</v>
      </c>
      <c r="Q409" s="15">
        <v>17</v>
      </c>
      <c r="R409" s="15">
        <v>5</v>
      </c>
      <c r="S409" s="15">
        <v>0</v>
      </c>
      <c r="T409" s="15">
        <v>1</v>
      </c>
      <c r="U409" s="15">
        <v>156</v>
      </c>
      <c r="V409" s="18"/>
      <c r="W409" s="18"/>
      <c r="X409" s="30"/>
      <c r="Y409" s="30"/>
      <c r="Z409" s="30"/>
      <c r="AA409" s="30"/>
      <c r="AB409" s="34"/>
      <c r="AC409" s="30"/>
      <c r="AD409" s="30"/>
      <c r="AE409" s="30"/>
      <c r="AF409" s="30"/>
      <c r="AG409" s="30"/>
      <c r="AH409" s="30"/>
      <c r="AI409" s="30"/>
      <c r="AJ409" s="30"/>
      <c r="AK409" s="30"/>
      <c r="AL409" s="30"/>
      <c r="AM409" s="30"/>
      <c r="AN409" s="30"/>
      <c r="AO409" s="30"/>
    </row>
    <row r="410" spans="1:41" s="39" customFormat="1" ht="23.25" customHeight="1">
      <c r="A410" s="32"/>
      <c r="B410" s="134"/>
      <c r="C410" s="107" t="s">
        <v>12</v>
      </c>
      <c r="D410" s="33"/>
      <c r="E410" s="52"/>
      <c r="F410" s="24">
        <f>SUM(F408:F409)</f>
        <v>65</v>
      </c>
      <c r="G410" s="24">
        <f>SUM(G408:G409)</f>
        <v>5</v>
      </c>
      <c r="H410" s="24">
        <f>SUM(H408:H409)</f>
        <v>11</v>
      </c>
      <c r="I410" s="25">
        <f>SUM(F410:H410)</f>
        <v>81</v>
      </c>
      <c r="J410" s="24">
        <f aca="true" t="shared" si="121" ref="J410:O410">SUM(J408:J409)</f>
        <v>25</v>
      </c>
      <c r="K410" s="24">
        <f t="shared" si="121"/>
        <v>3</v>
      </c>
      <c r="L410" s="24">
        <f t="shared" si="121"/>
        <v>13</v>
      </c>
      <c r="M410" s="24">
        <f t="shared" si="121"/>
        <v>0</v>
      </c>
      <c r="N410" s="24">
        <f t="shared" si="121"/>
        <v>0</v>
      </c>
      <c r="O410" s="24">
        <f t="shared" si="121"/>
        <v>17</v>
      </c>
      <c r="P410" s="24">
        <f>SUM(J410:O410)</f>
        <v>58</v>
      </c>
      <c r="Q410" s="24">
        <f>SUM(Q408:Q409)</f>
        <v>17</v>
      </c>
      <c r="R410" s="24">
        <f>SUM(R408:R409)</f>
        <v>5</v>
      </c>
      <c r="S410" s="24">
        <f>SUM(S408:S409)</f>
        <v>0</v>
      </c>
      <c r="T410" s="24">
        <f>SUM(T408:T409)</f>
        <v>1</v>
      </c>
      <c r="U410" s="24">
        <f>SUM(U408:U409)</f>
        <v>156</v>
      </c>
      <c r="V410" s="26">
        <f>IF(I410-Q410=0,"",IF(D410="",(P410+S410)/(I410-Q410),IF(AND(D410&lt;&gt;"",(P410+S410)/(I410-Q410)&gt;=50%),(P410+S410)/(I410-Q410),"")))</f>
        <v>0.90625</v>
      </c>
      <c r="W410" s="26">
        <f>IF(I410=O410,"",IF(V410="",0,(P410+Q410+S410-O410)/(I410-O410)))</f>
        <v>0.90625</v>
      </c>
      <c r="X410" s="30"/>
      <c r="Y410" s="30"/>
      <c r="Z410" s="30"/>
      <c r="AA410" s="30"/>
      <c r="AB410" s="34"/>
      <c r="AC410" s="30"/>
      <c r="AD410" s="30"/>
      <c r="AE410" s="30"/>
      <c r="AF410" s="30"/>
      <c r="AG410" s="30"/>
      <c r="AH410" s="30"/>
      <c r="AI410" s="30"/>
      <c r="AJ410" s="30"/>
      <c r="AK410" s="30"/>
      <c r="AL410" s="30"/>
      <c r="AM410" s="30"/>
      <c r="AN410" s="30"/>
      <c r="AO410" s="30"/>
    </row>
    <row r="411" spans="1:41" s="39" customFormat="1" ht="24.75" customHeight="1">
      <c r="A411" s="32"/>
      <c r="B411" s="116" t="s">
        <v>186</v>
      </c>
      <c r="C411" s="109" t="s">
        <v>156</v>
      </c>
      <c r="D411" s="90" t="s">
        <v>30</v>
      </c>
      <c r="E411" s="91" t="s">
        <v>242</v>
      </c>
      <c r="F411" s="113"/>
      <c r="G411" s="113"/>
      <c r="H411" s="113"/>
      <c r="I411" s="93"/>
      <c r="J411" s="92"/>
      <c r="K411" s="92"/>
      <c r="L411" s="92"/>
      <c r="M411" s="92"/>
      <c r="N411" s="92"/>
      <c r="O411" s="92"/>
      <c r="P411" s="92"/>
      <c r="Q411" s="92"/>
      <c r="R411" s="92"/>
      <c r="S411" s="92"/>
      <c r="T411" s="92"/>
      <c r="U411" s="92"/>
      <c r="V411" s="101"/>
      <c r="W411" s="101"/>
      <c r="X411" s="30"/>
      <c r="Y411" s="30"/>
      <c r="Z411" s="30"/>
      <c r="AA411" s="30"/>
      <c r="AB411" s="34"/>
      <c r="AC411" s="30"/>
      <c r="AD411" s="30"/>
      <c r="AE411" s="30"/>
      <c r="AF411" s="30"/>
      <c r="AG411" s="30"/>
      <c r="AH411" s="30"/>
      <c r="AI411" s="30"/>
      <c r="AJ411" s="30"/>
      <c r="AK411" s="30"/>
      <c r="AL411" s="30"/>
      <c r="AM411" s="30"/>
      <c r="AN411" s="30"/>
      <c r="AO411" s="30"/>
    </row>
    <row r="412" spans="1:41" s="39" customFormat="1" ht="18.75" customHeight="1">
      <c r="A412" s="32">
        <v>17</v>
      </c>
      <c r="B412" s="117"/>
      <c r="C412" s="110" t="str">
        <f>IF(A412="","VARA",VLOOKUP(A412,'[1]varas'!$A$4:$B$67,2))</f>
        <v>17ª VT Recife</v>
      </c>
      <c r="D412" s="103"/>
      <c r="E412" s="91"/>
      <c r="F412" s="92">
        <v>0</v>
      </c>
      <c r="G412" s="92">
        <v>0</v>
      </c>
      <c r="H412" s="92">
        <v>0</v>
      </c>
      <c r="I412" s="93">
        <f>SUM(F412:H412)</f>
        <v>0</v>
      </c>
      <c r="J412" s="92">
        <v>0</v>
      </c>
      <c r="K412" s="92">
        <v>0</v>
      </c>
      <c r="L412" s="92">
        <v>0</v>
      </c>
      <c r="M412" s="92">
        <v>0</v>
      </c>
      <c r="N412" s="92">
        <v>0</v>
      </c>
      <c r="O412" s="92">
        <v>0</v>
      </c>
      <c r="P412" s="92">
        <f>SUM(J412:O412)</f>
        <v>0</v>
      </c>
      <c r="Q412" s="92">
        <v>0</v>
      </c>
      <c r="R412" s="92">
        <v>0</v>
      </c>
      <c r="S412" s="92">
        <v>0</v>
      </c>
      <c r="T412" s="92">
        <v>0</v>
      </c>
      <c r="U412" s="92">
        <v>0</v>
      </c>
      <c r="V412" s="101"/>
      <c r="W412" s="101"/>
      <c r="X412" s="30"/>
      <c r="Y412" s="30"/>
      <c r="Z412" s="30"/>
      <c r="AA412" s="30"/>
      <c r="AB412" s="34"/>
      <c r="AC412" s="30"/>
      <c r="AD412" s="30"/>
      <c r="AE412" s="30"/>
      <c r="AF412" s="30"/>
      <c r="AG412" s="30"/>
      <c r="AH412" s="30"/>
      <c r="AI412" s="30"/>
      <c r="AJ412" s="30"/>
      <c r="AK412" s="30"/>
      <c r="AL412" s="30"/>
      <c r="AM412" s="30"/>
      <c r="AN412" s="30"/>
      <c r="AO412" s="30"/>
    </row>
    <row r="413" spans="1:41" s="39" customFormat="1" ht="22.5" customHeight="1">
      <c r="A413" s="32"/>
      <c r="B413" s="118"/>
      <c r="C413" s="114" t="s">
        <v>12</v>
      </c>
      <c r="D413" s="97"/>
      <c r="E413" s="98"/>
      <c r="F413" s="99">
        <f>SUM(F411:F412)</f>
        <v>0</v>
      </c>
      <c r="G413" s="99">
        <f>SUM(G411:G412)</f>
        <v>0</v>
      </c>
      <c r="H413" s="99">
        <f>SUM(H411:H412)</f>
        <v>0</v>
      </c>
      <c r="I413" s="100">
        <f>SUM(F413:H413)</f>
        <v>0</v>
      </c>
      <c r="J413" s="99">
        <f aca="true" t="shared" si="122" ref="J413:O413">SUM(J411:J412)</f>
        <v>0</v>
      </c>
      <c r="K413" s="99">
        <f t="shared" si="122"/>
        <v>0</v>
      </c>
      <c r="L413" s="99">
        <f t="shared" si="122"/>
        <v>0</v>
      </c>
      <c r="M413" s="99">
        <f t="shared" si="122"/>
        <v>0</v>
      </c>
      <c r="N413" s="99">
        <f t="shared" si="122"/>
        <v>0</v>
      </c>
      <c r="O413" s="99">
        <f t="shared" si="122"/>
        <v>0</v>
      </c>
      <c r="P413" s="99">
        <f>SUM(J413:O413)</f>
        <v>0</v>
      </c>
      <c r="Q413" s="99">
        <f>SUM(Q411:Q412)</f>
        <v>0</v>
      </c>
      <c r="R413" s="99">
        <f>SUM(R411:R412)</f>
        <v>0</v>
      </c>
      <c r="S413" s="99">
        <f>SUM(S411:S412)</f>
        <v>0</v>
      </c>
      <c r="T413" s="99">
        <f>SUM(T411:T412)</f>
        <v>0</v>
      </c>
      <c r="U413" s="99">
        <f>SUM(U411:U412)</f>
        <v>0</v>
      </c>
      <c r="V413" s="101">
        <f>IF(I413-Q413=0,"",IF(D413="",(P413+S413)/(I413-Q413),IF(AND(D413&lt;&gt;"",(P413+S413)/(I413-Q413)&gt;=50%),(P413+S413)/(I413-Q413),"")))</f>
      </c>
      <c r="W413" s="101">
        <f>IF(I413=O413,"",IF(V413="",0,(P413+Q413+S413-O413)/(I413-O413)))</f>
      </c>
      <c r="X413" s="30"/>
      <c r="Y413" s="30"/>
      <c r="Z413" s="30"/>
      <c r="AA413" s="30"/>
      <c r="AB413" s="34"/>
      <c r="AC413" s="30"/>
      <c r="AD413" s="30"/>
      <c r="AE413" s="30"/>
      <c r="AF413" s="30"/>
      <c r="AG413" s="30"/>
      <c r="AH413" s="30"/>
      <c r="AI413" s="30"/>
      <c r="AJ413" s="30"/>
      <c r="AK413" s="30"/>
      <c r="AL413" s="30"/>
      <c r="AM413" s="30"/>
      <c r="AN413" s="30"/>
      <c r="AO413" s="30"/>
    </row>
    <row r="414" spans="1:41" s="39" customFormat="1" ht="23.25" customHeight="1">
      <c r="A414" s="32"/>
      <c r="B414" s="130" t="s">
        <v>124</v>
      </c>
      <c r="C414" s="14" t="s">
        <v>2</v>
      </c>
      <c r="D414" s="29" t="s">
        <v>30</v>
      </c>
      <c r="E414" s="16" t="s">
        <v>203</v>
      </c>
      <c r="F414" s="15"/>
      <c r="G414" s="15"/>
      <c r="H414" s="15"/>
      <c r="I414" s="17"/>
      <c r="J414" s="15"/>
      <c r="K414" s="15"/>
      <c r="L414" s="15"/>
      <c r="M414" s="15"/>
      <c r="N414" s="15"/>
      <c r="O414" s="15"/>
      <c r="P414" s="15"/>
      <c r="Q414" s="15"/>
      <c r="R414" s="15"/>
      <c r="S414" s="15"/>
      <c r="T414" s="15"/>
      <c r="U414" s="15"/>
      <c r="V414" s="18"/>
      <c r="W414" s="18"/>
      <c r="X414" s="30"/>
      <c r="Y414" s="30"/>
      <c r="Z414" s="30"/>
      <c r="AA414" s="30"/>
      <c r="AB414" s="34"/>
      <c r="AC414" s="30"/>
      <c r="AD414" s="30"/>
      <c r="AE414" s="30"/>
      <c r="AF414" s="30"/>
      <c r="AG414" s="30"/>
      <c r="AH414" s="30"/>
      <c r="AI414" s="30"/>
      <c r="AJ414" s="30"/>
      <c r="AK414" s="30"/>
      <c r="AL414" s="30"/>
      <c r="AM414" s="30"/>
      <c r="AN414" s="30"/>
      <c r="AO414" s="30"/>
    </row>
    <row r="415" spans="1:41" s="39" customFormat="1" ht="20.25" customHeight="1">
      <c r="A415" s="32">
        <v>4</v>
      </c>
      <c r="B415" s="137"/>
      <c r="C415" s="20" t="str">
        <f>IF(A415="","VARA",VLOOKUP(A415,'[1]varas'!$A$4:$B$102,2))</f>
        <v>4ª VT Recife</v>
      </c>
      <c r="D415" s="29"/>
      <c r="E415" s="16"/>
      <c r="F415" s="15">
        <f>15+10+8+7</f>
        <v>40</v>
      </c>
      <c r="G415" s="15">
        <v>1</v>
      </c>
      <c r="H415" s="15">
        <v>2</v>
      </c>
      <c r="I415" s="17">
        <f>SUM(F415:H415)</f>
        <v>43</v>
      </c>
      <c r="J415" s="15">
        <v>7</v>
      </c>
      <c r="K415" s="15">
        <v>0</v>
      </c>
      <c r="L415" s="15">
        <v>8</v>
      </c>
      <c r="M415" s="15">
        <v>7</v>
      </c>
      <c r="N415" s="15">
        <v>0</v>
      </c>
      <c r="O415" s="15">
        <v>10</v>
      </c>
      <c r="P415" s="15">
        <f>SUM(J415:O415)</f>
        <v>32</v>
      </c>
      <c r="Q415" s="15">
        <v>9</v>
      </c>
      <c r="R415" s="15">
        <v>2</v>
      </c>
      <c r="S415" s="15">
        <v>0</v>
      </c>
      <c r="T415" s="15">
        <v>0</v>
      </c>
      <c r="U415" s="15">
        <v>68</v>
      </c>
      <c r="V415" s="18"/>
      <c r="W415" s="18"/>
      <c r="X415" s="30"/>
      <c r="Y415" s="30"/>
      <c r="Z415" s="30"/>
      <c r="AA415" s="30"/>
      <c r="AB415" s="34"/>
      <c r="AC415" s="30"/>
      <c r="AD415" s="30"/>
      <c r="AE415" s="30"/>
      <c r="AF415" s="30"/>
      <c r="AG415" s="30"/>
      <c r="AH415" s="30"/>
      <c r="AI415" s="30"/>
      <c r="AJ415" s="30"/>
      <c r="AK415" s="30"/>
      <c r="AL415" s="30"/>
      <c r="AM415" s="30"/>
      <c r="AN415" s="30"/>
      <c r="AO415" s="30"/>
    </row>
    <row r="416" spans="1:41" s="39" customFormat="1" ht="21.75" customHeight="1">
      <c r="A416" s="32"/>
      <c r="B416" s="131"/>
      <c r="C416" s="21" t="s">
        <v>12</v>
      </c>
      <c r="D416" s="33"/>
      <c r="E416" s="23"/>
      <c r="F416" s="24">
        <f>SUM(F414:F415)</f>
        <v>40</v>
      </c>
      <c r="G416" s="24">
        <f>SUM(G414:G415)</f>
        <v>1</v>
      </c>
      <c r="H416" s="24">
        <f>SUM(H414:H415)</f>
        <v>2</v>
      </c>
      <c r="I416" s="25">
        <f>SUM(F416:H416)</f>
        <v>43</v>
      </c>
      <c r="J416" s="24">
        <f aca="true" t="shared" si="123" ref="J416:O416">SUM(J414:J415)</f>
        <v>7</v>
      </c>
      <c r="K416" s="24">
        <f t="shared" si="123"/>
        <v>0</v>
      </c>
      <c r="L416" s="24">
        <f t="shared" si="123"/>
        <v>8</v>
      </c>
      <c r="M416" s="24">
        <f t="shared" si="123"/>
        <v>7</v>
      </c>
      <c r="N416" s="24">
        <f t="shared" si="123"/>
        <v>0</v>
      </c>
      <c r="O416" s="24">
        <f t="shared" si="123"/>
        <v>10</v>
      </c>
      <c r="P416" s="24">
        <f>SUM(J416:O416)</f>
        <v>32</v>
      </c>
      <c r="Q416" s="24">
        <f>SUM(Q414:Q415)</f>
        <v>9</v>
      </c>
      <c r="R416" s="24">
        <f>SUM(R414:R415)</f>
        <v>2</v>
      </c>
      <c r="S416" s="24">
        <f>SUM(S414:S415)</f>
        <v>0</v>
      </c>
      <c r="T416" s="24">
        <f>SUM(T414:T415)</f>
        <v>0</v>
      </c>
      <c r="U416" s="24">
        <f>SUM(U414:U415)</f>
        <v>68</v>
      </c>
      <c r="V416" s="26">
        <f>IF(I416-Q416=0,"",IF(D416="",(P416+S416)/(I416-Q416),IF(AND(D416&lt;&gt;"",(P416+S416)/(I416-Q416)&gt;=50%),(P416+S416)/(I416-Q416),"")))</f>
        <v>0.9411764705882353</v>
      </c>
      <c r="W416" s="26">
        <f>IF(I416=O416,"",IF(V416="",0,(P416+Q416+S416-O416)/(I416-O416)))</f>
        <v>0.9393939393939394</v>
      </c>
      <c r="X416" s="30"/>
      <c r="Y416" s="30"/>
      <c r="Z416" s="30"/>
      <c r="AA416" s="30"/>
      <c r="AB416" s="34"/>
      <c r="AC416" s="30"/>
      <c r="AD416" s="30"/>
      <c r="AE416" s="30"/>
      <c r="AF416" s="30"/>
      <c r="AG416" s="30"/>
      <c r="AH416" s="30"/>
      <c r="AI416" s="30"/>
      <c r="AJ416" s="30"/>
      <c r="AK416" s="30"/>
      <c r="AL416" s="30"/>
      <c r="AM416" s="30"/>
      <c r="AN416" s="30"/>
      <c r="AO416" s="30"/>
    </row>
    <row r="417" spans="1:41" s="39" customFormat="1" ht="21.75" customHeight="1">
      <c r="A417" s="32"/>
      <c r="B417" s="138" t="s">
        <v>125</v>
      </c>
      <c r="C417" s="105" t="s">
        <v>2</v>
      </c>
      <c r="D417" s="15"/>
      <c r="E417" s="16" t="s">
        <v>27</v>
      </c>
      <c r="F417" s="15"/>
      <c r="G417" s="15"/>
      <c r="H417" s="15"/>
      <c r="I417" s="17"/>
      <c r="J417" s="15"/>
      <c r="K417" s="15"/>
      <c r="L417" s="15"/>
      <c r="M417" s="15"/>
      <c r="N417" s="15"/>
      <c r="O417" s="15"/>
      <c r="P417" s="15"/>
      <c r="Q417" s="15"/>
      <c r="R417" s="15"/>
      <c r="S417" s="15"/>
      <c r="T417" s="15"/>
      <c r="U417" s="15"/>
      <c r="V417" s="18"/>
      <c r="W417" s="18"/>
      <c r="X417" s="30"/>
      <c r="Y417" s="30"/>
      <c r="Z417" s="30"/>
      <c r="AA417" s="30"/>
      <c r="AB417" s="34"/>
      <c r="AC417" s="30"/>
      <c r="AD417" s="30"/>
      <c r="AE417" s="30"/>
      <c r="AF417" s="30"/>
      <c r="AG417" s="30"/>
      <c r="AH417" s="30"/>
      <c r="AI417" s="30"/>
      <c r="AJ417" s="30"/>
      <c r="AK417" s="30"/>
      <c r="AL417" s="30"/>
      <c r="AM417" s="30"/>
      <c r="AN417" s="30"/>
      <c r="AO417" s="30"/>
    </row>
    <row r="418" spans="1:41" s="39" customFormat="1" ht="21" customHeight="1">
      <c r="A418" s="32">
        <v>43</v>
      </c>
      <c r="B418" s="139"/>
      <c r="C418" s="106" t="str">
        <f>IF(A418="","VARA",VLOOKUP(A418,'[1]varas'!$A$4:$B$102,2))</f>
        <v>1ª VT Petrolina</v>
      </c>
      <c r="D418" s="15"/>
      <c r="E418" s="16"/>
      <c r="F418" s="15">
        <f>100+23+13+5</f>
        <v>141</v>
      </c>
      <c r="G418" s="15">
        <v>7</v>
      </c>
      <c r="H418" s="15">
        <v>0</v>
      </c>
      <c r="I418" s="17">
        <f>SUM(F418:H418)</f>
        <v>148</v>
      </c>
      <c r="J418" s="15">
        <v>60</v>
      </c>
      <c r="K418" s="15">
        <v>21</v>
      </c>
      <c r="L418" s="15">
        <v>13</v>
      </c>
      <c r="M418" s="15">
        <v>4</v>
      </c>
      <c r="N418" s="15">
        <v>1</v>
      </c>
      <c r="O418" s="15">
        <v>23</v>
      </c>
      <c r="P418" s="15">
        <f>SUM(J418:O418)</f>
        <v>122</v>
      </c>
      <c r="Q418" s="15">
        <v>24</v>
      </c>
      <c r="R418" s="15">
        <v>0</v>
      </c>
      <c r="S418" s="15">
        <v>1</v>
      </c>
      <c r="T418" s="15">
        <v>1</v>
      </c>
      <c r="U418" s="15">
        <v>168</v>
      </c>
      <c r="V418" s="18"/>
      <c r="W418" s="18"/>
      <c r="X418" s="30"/>
      <c r="Y418" s="30"/>
      <c r="Z418" s="30"/>
      <c r="AA418" s="30"/>
      <c r="AB418" s="34"/>
      <c r="AC418" s="30"/>
      <c r="AD418" s="30"/>
      <c r="AE418" s="30"/>
      <c r="AF418" s="30"/>
      <c r="AG418" s="30"/>
      <c r="AH418" s="30"/>
      <c r="AI418" s="30"/>
      <c r="AJ418" s="30"/>
      <c r="AK418" s="30"/>
      <c r="AL418" s="30"/>
      <c r="AM418" s="30"/>
      <c r="AN418" s="30"/>
      <c r="AO418" s="30"/>
    </row>
    <row r="419" spans="1:41" s="39" customFormat="1" ht="15.75" customHeight="1">
      <c r="A419" s="32"/>
      <c r="B419" s="134"/>
      <c r="C419" s="107" t="s">
        <v>12</v>
      </c>
      <c r="D419" s="33"/>
      <c r="E419" s="23"/>
      <c r="F419" s="24">
        <f>SUM(F417:F418)</f>
        <v>141</v>
      </c>
      <c r="G419" s="24">
        <f>SUM(G417:G418)</f>
        <v>7</v>
      </c>
      <c r="H419" s="24">
        <f>SUM(H417:H418)</f>
        <v>0</v>
      </c>
      <c r="I419" s="40">
        <f>SUM(F419:H419)</f>
        <v>148</v>
      </c>
      <c r="J419" s="24">
        <f aca="true" t="shared" si="124" ref="J419:O419">SUM(J417:J418)</f>
        <v>60</v>
      </c>
      <c r="K419" s="24">
        <f t="shared" si="124"/>
        <v>21</v>
      </c>
      <c r="L419" s="24">
        <f t="shared" si="124"/>
        <v>13</v>
      </c>
      <c r="M419" s="24">
        <f t="shared" si="124"/>
        <v>4</v>
      </c>
      <c r="N419" s="24">
        <f t="shared" si="124"/>
        <v>1</v>
      </c>
      <c r="O419" s="24">
        <f t="shared" si="124"/>
        <v>23</v>
      </c>
      <c r="P419" s="24">
        <f>SUM(J419:O419)</f>
        <v>122</v>
      </c>
      <c r="Q419" s="24">
        <f>SUM(Q417:Q418)</f>
        <v>24</v>
      </c>
      <c r="R419" s="24">
        <f>SUM(R417:R418)</f>
        <v>0</v>
      </c>
      <c r="S419" s="24">
        <f>SUM(S417:S418)</f>
        <v>1</v>
      </c>
      <c r="T419" s="24">
        <f>SUM(T417:T418)</f>
        <v>1</v>
      </c>
      <c r="U419" s="24">
        <f>SUM(U417:U418)</f>
        <v>168</v>
      </c>
      <c r="V419" s="26">
        <f>IF(I419-Q419=0,"",IF(D419="",(P419+S419)/(I419-Q419),IF(AND(D419&lt;&gt;"",(P419+S419)/(I419-Q419)&gt;=50%),(P419+S419)/(I419-Q419),"")))</f>
        <v>0.9919354838709677</v>
      </c>
      <c r="W419" s="26">
        <f>IF(I419=O419,"",IF(V419="",0,(P419+Q419+S419-O419)/(I419-O419)))</f>
        <v>0.992</v>
      </c>
      <c r="X419" s="30"/>
      <c r="Y419" s="30"/>
      <c r="Z419" s="30"/>
      <c r="AA419" s="30"/>
      <c r="AB419" s="34"/>
      <c r="AC419" s="30"/>
      <c r="AD419" s="30"/>
      <c r="AE419" s="30"/>
      <c r="AF419" s="30"/>
      <c r="AG419" s="30"/>
      <c r="AH419" s="30"/>
      <c r="AI419" s="30"/>
      <c r="AJ419" s="30"/>
      <c r="AK419" s="30"/>
      <c r="AL419" s="30"/>
      <c r="AM419" s="30"/>
      <c r="AN419" s="30"/>
      <c r="AO419" s="30"/>
    </row>
    <row r="420" spans="1:41" s="39" customFormat="1" ht="20.25" customHeight="1">
      <c r="A420" s="32"/>
      <c r="B420" s="138" t="s">
        <v>126</v>
      </c>
      <c r="C420" s="105" t="s">
        <v>2</v>
      </c>
      <c r="D420" s="15"/>
      <c r="E420" s="16" t="s">
        <v>27</v>
      </c>
      <c r="F420" s="15"/>
      <c r="G420" s="15"/>
      <c r="H420" s="15"/>
      <c r="I420" s="17"/>
      <c r="J420" s="15"/>
      <c r="K420" s="15"/>
      <c r="L420" s="15"/>
      <c r="M420" s="15"/>
      <c r="N420" s="15"/>
      <c r="O420" s="15"/>
      <c r="P420" s="15"/>
      <c r="Q420" s="15"/>
      <c r="R420" s="15"/>
      <c r="S420" s="15"/>
      <c r="T420" s="15"/>
      <c r="U420" s="15"/>
      <c r="V420" s="18"/>
      <c r="W420" s="18"/>
      <c r="X420" s="30"/>
      <c r="Y420" s="30"/>
      <c r="Z420" s="30"/>
      <c r="AA420" s="30"/>
      <c r="AB420" s="34"/>
      <c r="AC420" s="30"/>
      <c r="AD420" s="30"/>
      <c r="AE420" s="30"/>
      <c r="AF420" s="30"/>
      <c r="AG420" s="30"/>
      <c r="AH420" s="30"/>
      <c r="AI420" s="30"/>
      <c r="AJ420" s="30"/>
      <c r="AK420" s="30"/>
      <c r="AL420" s="30"/>
      <c r="AM420" s="30"/>
      <c r="AN420" s="30"/>
      <c r="AO420" s="30"/>
    </row>
    <row r="421" spans="1:41" s="39" customFormat="1" ht="20.25" customHeight="1">
      <c r="A421" s="32">
        <v>17</v>
      </c>
      <c r="B421" s="142"/>
      <c r="C421" s="106" t="str">
        <f>IF(A421="","VARA",VLOOKUP(A421,'[1]varas'!$A$4:$B$102,2))</f>
        <v>17ª VT Recife</v>
      </c>
      <c r="D421" s="15"/>
      <c r="E421" s="16"/>
      <c r="F421" s="15">
        <v>2</v>
      </c>
      <c r="G421" s="15">
        <v>0</v>
      </c>
      <c r="H421" s="15">
        <v>0</v>
      </c>
      <c r="I421" s="17">
        <f>SUM(F421:H421)</f>
        <v>2</v>
      </c>
      <c r="J421" s="15">
        <v>0</v>
      </c>
      <c r="K421" s="15">
        <v>0</v>
      </c>
      <c r="L421" s="15">
        <v>0</v>
      </c>
      <c r="M421" s="15">
        <v>0</v>
      </c>
      <c r="N421" s="15">
        <v>0</v>
      </c>
      <c r="O421" s="15">
        <v>2</v>
      </c>
      <c r="P421" s="15">
        <f>SUM(J421:O421)</f>
        <v>2</v>
      </c>
      <c r="Q421" s="15">
        <v>0</v>
      </c>
      <c r="R421" s="15">
        <v>0</v>
      </c>
      <c r="S421" s="15">
        <v>0</v>
      </c>
      <c r="T421" s="15">
        <v>0</v>
      </c>
      <c r="U421" s="15">
        <v>2</v>
      </c>
      <c r="V421" s="18"/>
      <c r="W421" s="18"/>
      <c r="X421" s="30"/>
      <c r="Y421" s="30"/>
      <c r="Z421" s="30"/>
      <c r="AA421" s="30"/>
      <c r="AB421" s="34"/>
      <c r="AC421" s="30"/>
      <c r="AD421" s="30"/>
      <c r="AE421" s="30"/>
      <c r="AF421" s="30"/>
      <c r="AG421" s="30"/>
      <c r="AH421" s="30"/>
      <c r="AI421" s="30"/>
      <c r="AJ421" s="30"/>
      <c r="AK421" s="30"/>
      <c r="AL421" s="30"/>
      <c r="AM421" s="30"/>
      <c r="AN421" s="30"/>
      <c r="AO421" s="30"/>
    </row>
    <row r="422" spans="1:41" s="39" customFormat="1" ht="21" customHeight="1">
      <c r="A422" s="32">
        <v>18</v>
      </c>
      <c r="B422" s="139"/>
      <c r="C422" s="106" t="str">
        <f>IF(A422="","VARA",VLOOKUP(A422,'[1]varas'!$A$4:$B$102,2))</f>
        <v>18ª VT Recife</v>
      </c>
      <c r="D422" s="15"/>
      <c r="E422" s="16"/>
      <c r="F422" s="15">
        <f>47+47+9+10</f>
        <v>113</v>
      </c>
      <c r="G422" s="15">
        <v>0</v>
      </c>
      <c r="H422" s="15">
        <v>50</v>
      </c>
      <c r="I422" s="17">
        <f>SUM(F422:H422)</f>
        <v>163</v>
      </c>
      <c r="J422" s="15">
        <v>5</v>
      </c>
      <c r="K422" s="15">
        <v>7</v>
      </c>
      <c r="L422" s="15">
        <v>9</v>
      </c>
      <c r="M422" s="15">
        <v>10</v>
      </c>
      <c r="N422" s="15">
        <v>0</v>
      </c>
      <c r="O422" s="15">
        <v>47</v>
      </c>
      <c r="P422" s="15">
        <f>SUM(J422:O422)</f>
        <v>78</v>
      </c>
      <c r="Q422" s="15">
        <v>0</v>
      </c>
      <c r="R422" s="15">
        <v>85</v>
      </c>
      <c r="S422" s="15">
        <v>0</v>
      </c>
      <c r="T422" s="15">
        <v>0</v>
      </c>
      <c r="U422" s="15">
        <v>164</v>
      </c>
      <c r="V422" s="18"/>
      <c r="W422" s="18"/>
      <c r="X422" s="30"/>
      <c r="Y422" s="30"/>
      <c r="Z422" s="30"/>
      <c r="AA422" s="30"/>
      <c r="AB422" s="34"/>
      <c r="AC422" s="30"/>
      <c r="AD422" s="30"/>
      <c r="AE422" s="30"/>
      <c r="AF422" s="30"/>
      <c r="AG422" s="30"/>
      <c r="AH422" s="30"/>
      <c r="AI422" s="30"/>
      <c r="AJ422" s="30"/>
      <c r="AK422" s="30"/>
      <c r="AL422" s="30"/>
      <c r="AM422" s="30"/>
      <c r="AN422" s="30"/>
      <c r="AO422" s="30"/>
    </row>
    <row r="423" spans="1:41" s="39" customFormat="1" ht="20.25" customHeight="1">
      <c r="A423" s="32"/>
      <c r="B423" s="134"/>
      <c r="C423" s="107" t="s">
        <v>12</v>
      </c>
      <c r="D423" s="33"/>
      <c r="E423" s="23"/>
      <c r="F423" s="24">
        <f>SUM(F420:F422)</f>
        <v>115</v>
      </c>
      <c r="G423" s="24">
        <f>SUM(G420:G422)</f>
        <v>0</v>
      </c>
      <c r="H423" s="24">
        <f>SUM(H420:H422)</f>
        <v>50</v>
      </c>
      <c r="I423" s="25">
        <f>SUM(F423:H423)</f>
        <v>165</v>
      </c>
      <c r="J423" s="24">
        <f aca="true" t="shared" si="125" ref="J423:O423">SUM(J420:J422)</f>
        <v>5</v>
      </c>
      <c r="K423" s="24">
        <f t="shared" si="125"/>
        <v>7</v>
      </c>
      <c r="L423" s="24">
        <f t="shared" si="125"/>
        <v>9</v>
      </c>
      <c r="M423" s="24">
        <f t="shared" si="125"/>
        <v>10</v>
      </c>
      <c r="N423" s="24">
        <f t="shared" si="125"/>
        <v>0</v>
      </c>
      <c r="O423" s="24">
        <f t="shared" si="125"/>
        <v>49</v>
      </c>
      <c r="P423" s="24">
        <f>SUM(J423:O423)</f>
        <v>80</v>
      </c>
      <c r="Q423" s="24">
        <f>SUM(Q420:Q422)</f>
        <v>0</v>
      </c>
      <c r="R423" s="24">
        <f>SUM(R420:R422)</f>
        <v>85</v>
      </c>
      <c r="S423" s="24">
        <f>SUM(S420:S422)</f>
        <v>0</v>
      </c>
      <c r="T423" s="24">
        <f>SUM(T420:T422)</f>
        <v>0</v>
      </c>
      <c r="U423" s="24">
        <f>SUM(U420:U422)</f>
        <v>166</v>
      </c>
      <c r="V423" s="26">
        <f>IF(I423-Q423=0,"",IF(D423="",(P423+S423)/(I423-Q423),IF(AND(D423&lt;&gt;"",(P423+S423)/(I423-Q423)&gt;=50%),(P423+S423)/(I423-Q423),"")))</f>
        <v>0.48484848484848486</v>
      </c>
      <c r="W423" s="26">
        <f>IF(I423=O423,"",IF(V423="",0,(P423+Q423+S423-O423)/(I423-O423)))</f>
        <v>0.2672413793103448</v>
      </c>
      <c r="X423" s="30"/>
      <c r="Y423" s="30"/>
      <c r="Z423" s="30"/>
      <c r="AA423" s="30"/>
      <c r="AB423" s="34"/>
      <c r="AC423" s="30"/>
      <c r="AD423" s="30"/>
      <c r="AE423" s="30"/>
      <c r="AF423" s="30"/>
      <c r="AG423" s="30"/>
      <c r="AH423" s="30"/>
      <c r="AI423" s="30"/>
      <c r="AJ423" s="30"/>
      <c r="AK423" s="30"/>
      <c r="AL423" s="30"/>
      <c r="AM423" s="30"/>
      <c r="AN423" s="30"/>
      <c r="AO423" s="30"/>
    </row>
    <row r="424" spans="1:41" s="39" customFormat="1" ht="22.5" customHeight="1">
      <c r="A424" s="32"/>
      <c r="B424" s="130" t="s">
        <v>127</v>
      </c>
      <c r="C424" s="14" t="s">
        <v>2</v>
      </c>
      <c r="D424" s="29" t="s">
        <v>30</v>
      </c>
      <c r="E424" s="16" t="s">
        <v>199</v>
      </c>
      <c r="F424" s="15"/>
      <c r="G424" s="15"/>
      <c r="H424" s="15"/>
      <c r="I424" s="17"/>
      <c r="J424" s="15"/>
      <c r="K424" s="15"/>
      <c r="L424" s="15"/>
      <c r="M424" s="15"/>
      <c r="N424" s="15"/>
      <c r="O424" s="15"/>
      <c r="P424" s="15"/>
      <c r="Q424" s="15"/>
      <c r="R424" s="15"/>
      <c r="S424" s="15"/>
      <c r="T424" s="15"/>
      <c r="U424" s="15"/>
      <c r="V424" s="18"/>
      <c r="W424" s="18"/>
      <c r="X424" s="30"/>
      <c r="Y424" s="30"/>
      <c r="Z424" s="30"/>
      <c r="AA424" s="30"/>
      <c r="AB424" s="34"/>
      <c r="AC424" s="30"/>
      <c r="AD424" s="30"/>
      <c r="AE424" s="30"/>
      <c r="AF424" s="30"/>
      <c r="AG424" s="30"/>
      <c r="AH424" s="30"/>
      <c r="AI424" s="30"/>
      <c r="AJ424" s="30"/>
      <c r="AK424" s="30"/>
      <c r="AL424" s="30"/>
      <c r="AM424" s="30"/>
      <c r="AN424" s="30"/>
      <c r="AO424" s="30"/>
    </row>
    <row r="425" spans="1:41" s="39" customFormat="1" ht="20.25" customHeight="1">
      <c r="A425" s="32">
        <v>48</v>
      </c>
      <c r="B425" s="137"/>
      <c r="C425" s="20" t="str">
        <f>IF(A425="","VARA",VLOOKUP(A425,'[1]varas'!$A$4:$B$102,2))</f>
        <v>VT Catende</v>
      </c>
      <c r="D425" s="29"/>
      <c r="E425" s="16"/>
      <c r="F425" s="15">
        <f>0</f>
        <v>0</v>
      </c>
      <c r="G425" s="15">
        <v>0</v>
      </c>
      <c r="H425" s="15">
        <v>2</v>
      </c>
      <c r="I425" s="17">
        <f>SUM(F425:H425)</f>
        <v>2</v>
      </c>
      <c r="J425" s="15">
        <v>1</v>
      </c>
      <c r="K425" s="15">
        <v>0</v>
      </c>
      <c r="L425" s="15">
        <v>0</v>
      </c>
      <c r="M425" s="15">
        <v>0</v>
      </c>
      <c r="N425" s="15">
        <v>1</v>
      </c>
      <c r="O425" s="15">
        <v>0</v>
      </c>
      <c r="P425" s="15">
        <f>SUM(J425:O425)</f>
        <v>2</v>
      </c>
      <c r="Q425" s="15">
        <v>0</v>
      </c>
      <c r="R425" s="15">
        <v>0</v>
      </c>
      <c r="S425" s="15">
        <v>0</v>
      </c>
      <c r="T425" s="15">
        <v>0</v>
      </c>
      <c r="U425" s="15">
        <v>0</v>
      </c>
      <c r="V425" s="18"/>
      <c r="W425" s="18"/>
      <c r="X425" s="30"/>
      <c r="Y425" s="30"/>
      <c r="Z425" s="30"/>
      <c r="AA425" s="30"/>
      <c r="AB425" s="34"/>
      <c r="AC425" s="30"/>
      <c r="AD425" s="30"/>
      <c r="AE425" s="30"/>
      <c r="AF425" s="30"/>
      <c r="AG425" s="30"/>
      <c r="AH425" s="30"/>
      <c r="AI425" s="30"/>
      <c r="AJ425" s="30"/>
      <c r="AK425" s="30"/>
      <c r="AL425" s="30"/>
      <c r="AM425" s="30"/>
      <c r="AN425" s="30"/>
      <c r="AO425" s="30"/>
    </row>
    <row r="426" spans="1:41" s="39" customFormat="1" ht="25.5" customHeight="1">
      <c r="A426" s="32"/>
      <c r="B426" s="137"/>
      <c r="C426" s="21" t="s">
        <v>12</v>
      </c>
      <c r="D426" s="33"/>
      <c r="E426" s="23"/>
      <c r="F426" s="24">
        <f>SUM(F424:F425)</f>
        <v>0</v>
      </c>
      <c r="G426" s="24">
        <f>SUM(G424:G425)</f>
        <v>0</v>
      </c>
      <c r="H426" s="24">
        <f>SUM(H424:H425)</f>
        <v>2</v>
      </c>
      <c r="I426" s="40">
        <f>SUM(F426:H426)</f>
        <v>2</v>
      </c>
      <c r="J426" s="24">
        <f aca="true" t="shared" si="126" ref="J426:O426">SUM(J424:J425)</f>
        <v>1</v>
      </c>
      <c r="K426" s="24">
        <f t="shared" si="126"/>
        <v>0</v>
      </c>
      <c r="L426" s="24">
        <f t="shared" si="126"/>
        <v>0</v>
      </c>
      <c r="M426" s="24">
        <f t="shared" si="126"/>
        <v>0</v>
      </c>
      <c r="N426" s="24">
        <f t="shared" si="126"/>
        <v>1</v>
      </c>
      <c r="O426" s="24">
        <f t="shared" si="126"/>
        <v>0</v>
      </c>
      <c r="P426" s="24">
        <f>SUM(J426:O426)</f>
        <v>2</v>
      </c>
      <c r="Q426" s="24">
        <f>SUM(Q424:Q425)</f>
        <v>0</v>
      </c>
      <c r="R426" s="24">
        <f>SUM(R424:R425)</f>
        <v>0</v>
      </c>
      <c r="S426" s="24">
        <f>SUM(S424:S425)</f>
        <v>0</v>
      </c>
      <c r="T426" s="24">
        <f>SUM(T424:T425)</f>
        <v>0</v>
      </c>
      <c r="U426" s="24">
        <f>SUM(U424:U425)</f>
        <v>0</v>
      </c>
      <c r="V426" s="26">
        <f>IF(I426-Q426=0,"",IF(D426="",(P426+S426)/(I426-Q426),IF(AND(D426&lt;&gt;"",(P426+S426)/(I426-Q426)&gt;=50%),(P426+S426)/(I426-Q426),"")))</f>
        <v>1</v>
      </c>
      <c r="W426" s="26">
        <f>IF(I426=O426,"",IF(V426="",0,(P426+Q426+S426-O426)/(I426-O426)))</f>
        <v>1</v>
      </c>
      <c r="X426" s="30"/>
      <c r="Y426" s="30"/>
      <c r="Z426" s="30"/>
      <c r="AA426" s="30"/>
      <c r="AB426" s="34"/>
      <c r="AC426" s="30"/>
      <c r="AD426" s="30"/>
      <c r="AE426" s="30"/>
      <c r="AF426" s="30"/>
      <c r="AG426" s="30"/>
      <c r="AH426" s="30"/>
      <c r="AI426" s="30"/>
      <c r="AJ426" s="30"/>
      <c r="AK426" s="30"/>
      <c r="AL426" s="30"/>
      <c r="AM426" s="30"/>
      <c r="AN426" s="30"/>
      <c r="AO426" s="30"/>
    </row>
    <row r="427" spans="1:41" s="39" customFormat="1" ht="23.25" customHeight="1">
      <c r="A427" s="32"/>
      <c r="B427" s="130" t="s">
        <v>172</v>
      </c>
      <c r="C427" s="20" t="s">
        <v>156</v>
      </c>
      <c r="D427" s="15" t="s">
        <v>30</v>
      </c>
      <c r="E427" s="16" t="s">
        <v>207</v>
      </c>
      <c r="F427" s="15"/>
      <c r="G427" s="15"/>
      <c r="H427" s="15"/>
      <c r="I427" s="17"/>
      <c r="J427" s="15"/>
      <c r="K427" s="15"/>
      <c r="L427" s="15"/>
      <c r="M427" s="15"/>
      <c r="N427" s="15"/>
      <c r="O427" s="15"/>
      <c r="P427" s="15"/>
      <c r="Q427" s="15"/>
      <c r="R427" s="15"/>
      <c r="S427" s="15"/>
      <c r="T427" s="15"/>
      <c r="U427" s="15"/>
      <c r="V427" s="18"/>
      <c r="W427" s="18"/>
      <c r="X427" s="30"/>
      <c r="Y427" s="30"/>
      <c r="Z427" s="30"/>
      <c r="AA427" s="30"/>
      <c r="AB427" s="34"/>
      <c r="AC427" s="30"/>
      <c r="AD427" s="30"/>
      <c r="AE427" s="30"/>
      <c r="AF427" s="30"/>
      <c r="AG427" s="30"/>
      <c r="AH427" s="30"/>
      <c r="AI427" s="30"/>
      <c r="AJ427" s="30"/>
      <c r="AK427" s="30"/>
      <c r="AL427" s="30"/>
      <c r="AM427" s="30"/>
      <c r="AN427" s="30"/>
      <c r="AO427" s="30"/>
    </row>
    <row r="428" spans="1:41" s="39" customFormat="1" ht="23.25" customHeight="1">
      <c r="A428" s="32">
        <v>6</v>
      </c>
      <c r="B428" s="130"/>
      <c r="C428" s="20" t="str">
        <f>IF(A428="","VARA",VLOOKUP(A428,'[1]varas'!$A$4:$B$102,2))</f>
        <v>6ª VT Recife</v>
      </c>
      <c r="D428" s="15"/>
      <c r="E428" s="16"/>
      <c r="F428" s="15">
        <v>0</v>
      </c>
      <c r="G428" s="15">
        <v>18</v>
      </c>
      <c r="H428" s="15">
        <v>9</v>
      </c>
      <c r="I428" s="17">
        <f>SUM(F428:H428)</f>
        <v>27</v>
      </c>
      <c r="J428" s="15">
        <v>26</v>
      </c>
      <c r="K428" s="15">
        <v>0</v>
      </c>
      <c r="L428" s="15">
        <v>0</v>
      </c>
      <c r="M428" s="15">
        <v>0</v>
      </c>
      <c r="N428" s="15">
        <v>0</v>
      </c>
      <c r="O428" s="15">
        <v>0</v>
      </c>
      <c r="P428" s="15">
        <f>SUM(J428:O428)</f>
        <v>26</v>
      </c>
      <c r="Q428" s="15">
        <v>0</v>
      </c>
      <c r="R428" s="15">
        <v>1</v>
      </c>
      <c r="S428" s="15">
        <v>0</v>
      </c>
      <c r="T428" s="15">
        <v>0</v>
      </c>
      <c r="U428" s="15">
        <v>0</v>
      </c>
      <c r="V428" s="18"/>
      <c r="W428" s="18"/>
      <c r="X428" s="30"/>
      <c r="Y428" s="30"/>
      <c r="Z428" s="30"/>
      <c r="AA428" s="30"/>
      <c r="AB428" s="34"/>
      <c r="AC428" s="30"/>
      <c r="AD428" s="30"/>
      <c r="AE428" s="30"/>
      <c r="AF428" s="30"/>
      <c r="AG428" s="30"/>
      <c r="AH428" s="30"/>
      <c r="AI428" s="30"/>
      <c r="AJ428" s="30"/>
      <c r="AK428" s="30"/>
      <c r="AL428" s="30"/>
      <c r="AM428" s="30"/>
      <c r="AN428" s="30"/>
      <c r="AO428" s="30"/>
    </row>
    <row r="429" spans="1:41" s="39" customFormat="1" ht="22.5" customHeight="1">
      <c r="A429" s="32"/>
      <c r="B429" s="131"/>
      <c r="C429" s="21" t="s">
        <v>12</v>
      </c>
      <c r="D429" s="33"/>
      <c r="E429" s="23"/>
      <c r="F429" s="24">
        <f>SUM(F427:F428)</f>
        <v>0</v>
      </c>
      <c r="G429" s="24">
        <f>SUM(G427:G428)</f>
        <v>18</v>
      </c>
      <c r="H429" s="24">
        <f>SUM(H427:H428)</f>
        <v>9</v>
      </c>
      <c r="I429" s="40">
        <f>SUM(F429:H429)</f>
        <v>27</v>
      </c>
      <c r="J429" s="24">
        <f aca="true" t="shared" si="127" ref="J429:O429">SUM(J427:J428)</f>
        <v>26</v>
      </c>
      <c r="K429" s="24">
        <f t="shared" si="127"/>
        <v>0</v>
      </c>
      <c r="L429" s="24">
        <f t="shared" si="127"/>
        <v>0</v>
      </c>
      <c r="M429" s="24">
        <f t="shared" si="127"/>
        <v>0</v>
      </c>
      <c r="N429" s="24">
        <f t="shared" si="127"/>
        <v>0</v>
      </c>
      <c r="O429" s="24">
        <f t="shared" si="127"/>
        <v>0</v>
      </c>
      <c r="P429" s="24">
        <f>SUM(J429:O429)</f>
        <v>26</v>
      </c>
      <c r="Q429" s="24">
        <f>SUM(Q427:Q428)</f>
        <v>0</v>
      </c>
      <c r="R429" s="24">
        <f>SUM(R427:R428)</f>
        <v>1</v>
      </c>
      <c r="S429" s="24">
        <f>SUM(S427:S428)</f>
        <v>0</v>
      </c>
      <c r="T429" s="24">
        <f>SUM(T427:T428)</f>
        <v>0</v>
      </c>
      <c r="U429" s="24">
        <f>SUM(U427:U428)</f>
        <v>0</v>
      </c>
      <c r="V429" s="26">
        <f>IF(I429-Q429=0,"",IF(D429="",(P429+S429)/(I429-Q429),IF(AND(D429&lt;&gt;"",(P429+S429)/(I429-Q429)&gt;=50%),(P429+S429)/(I429-Q429),"")))</f>
        <v>0.9629629629629629</v>
      </c>
      <c r="W429" s="26">
        <f>IF(I429=O429,"",IF(V429="",0,(P429+Q429+S429-O429)/(I429-O429)))</f>
        <v>0.9629629629629629</v>
      </c>
      <c r="X429" s="30"/>
      <c r="Y429" s="30"/>
      <c r="Z429" s="30"/>
      <c r="AA429" s="30"/>
      <c r="AB429" s="34"/>
      <c r="AC429" s="30"/>
      <c r="AD429" s="30"/>
      <c r="AE429" s="30"/>
      <c r="AF429" s="30"/>
      <c r="AG429" s="30"/>
      <c r="AH429" s="30"/>
      <c r="AI429" s="30"/>
      <c r="AJ429" s="30"/>
      <c r="AK429" s="30"/>
      <c r="AL429" s="30"/>
      <c r="AM429" s="30"/>
      <c r="AN429" s="30"/>
      <c r="AO429" s="30"/>
    </row>
    <row r="430" spans="1:41" s="39" customFormat="1" ht="22.5" customHeight="1">
      <c r="A430" s="32"/>
      <c r="B430" s="138" t="s">
        <v>128</v>
      </c>
      <c r="C430" s="105" t="s">
        <v>154</v>
      </c>
      <c r="D430" s="29"/>
      <c r="E430" s="16" t="s">
        <v>27</v>
      </c>
      <c r="F430" s="15"/>
      <c r="G430" s="15"/>
      <c r="H430" s="15"/>
      <c r="I430" s="17"/>
      <c r="J430" s="15"/>
      <c r="K430" s="15"/>
      <c r="L430" s="15"/>
      <c r="M430" s="15"/>
      <c r="N430" s="15"/>
      <c r="O430" s="15"/>
      <c r="P430" s="15"/>
      <c r="Q430" s="15"/>
      <c r="R430" s="15"/>
      <c r="S430" s="15"/>
      <c r="T430" s="15"/>
      <c r="U430" s="15"/>
      <c r="V430" s="18"/>
      <c r="W430" s="18"/>
      <c r="X430" s="30"/>
      <c r="Y430" s="30"/>
      <c r="Z430" s="30"/>
      <c r="AA430" s="30"/>
      <c r="AB430" s="34"/>
      <c r="AC430" s="30"/>
      <c r="AD430" s="30"/>
      <c r="AE430" s="30"/>
      <c r="AF430" s="30"/>
      <c r="AG430" s="30"/>
      <c r="AH430" s="30"/>
      <c r="AI430" s="30"/>
      <c r="AJ430" s="30"/>
      <c r="AK430" s="30"/>
      <c r="AL430" s="30"/>
      <c r="AM430" s="30"/>
      <c r="AN430" s="30"/>
      <c r="AO430" s="30"/>
    </row>
    <row r="431" spans="1:41" s="39" customFormat="1" ht="22.5" customHeight="1">
      <c r="A431" s="32">
        <v>11</v>
      </c>
      <c r="B431" s="142"/>
      <c r="C431" s="106" t="str">
        <f>IF(A431="","VARA",VLOOKUP(A431,'[1]varas'!$A$4:$B$102,2))</f>
        <v>11ª VT Recife</v>
      </c>
      <c r="D431" s="15"/>
      <c r="E431" s="16"/>
      <c r="F431" s="15">
        <f>34+20+4+5</f>
        <v>63</v>
      </c>
      <c r="G431" s="15">
        <v>8</v>
      </c>
      <c r="H431" s="15">
        <v>0</v>
      </c>
      <c r="I431" s="17">
        <f>SUM(F431:H431)</f>
        <v>71</v>
      </c>
      <c r="J431" s="15">
        <v>22</v>
      </c>
      <c r="K431" s="15">
        <v>11</v>
      </c>
      <c r="L431" s="15">
        <v>4</v>
      </c>
      <c r="M431" s="15">
        <v>3</v>
      </c>
      <c r="N431" s="15">
        <v>2</v>
      </c>
      <c r="O431" s="15">
        <v>20</v>
      </c>
      <c r="P431" s="15">
        <f>SUM(J431:O431)</f>
        <v>62</v>
      </c>
      <c r="Q431" s="15">
        <v>0</v>
      </c>
      <c r="R431" s="15">
        <v>9</v>
      </c>
      <c r="S431" s="15">
        <v>0</v>
      </c>
      <c r="T431" s="15">
        <v>0</v>
      </c>
      <c r="U431" s="15">
        <v>76</v>
      </c>
      <c r="V431" s="18"/>
      <c r="W431" s="18"/>
      <c r="X431" s="30"/>
      <c r="Y431" s="30"/>
      <c r="Z431" s="30"/>
      <c r="AA431" s="30"/>
      <c r="AB431" s="34"/>
      <c r="AC431" s="30"/>
      <c r="AD431" s="30"/>
      <c r="AE431" s="30"/>
      <c r="AF431" s="30"/>
      <c r="AG431" s="30"/>
      <c r="AH431" s="30"/>
      <c r="AI431" s="30"/>
      <c r="AJ431" s="30"/>
      <c r="AK431" s="30"/>
      <c r="AL431" s="30"/>
      <c r="AM431" s="30"/>
      <c r="AN431" s="30"/>
      <c r="AO431" s="30"/>
    </row>
    <row r="432" spans="1:41" s="39" customFormat="1" ht="18.75" customHeight="1">
      <c r="A432" s="32">
        <v>57</v>
      </c>
      <c r="B432" s="139"/>
      <c r="C432" s="106" t="str">
        <f>IF(A432="","VARA",VLOOKUP(A432,'[1]varas'!$A$4:$B$102,2))</f>
        <v>VT S. Lourenço </v>
      </c>
      <c r="D432" s="15"/>
      <c r="E432" s="16"/>
      <c r="F432" s="15">
        <f>16+35+25+5</f>
        <v>81</v>
      </c>
      <c r="G432" s="15">
        <v>0</v>
      </c>
      <c r="H432" s="15">
        <v>0</v>
      </c>
      <c r="I432" s="17">
        <f>SUM(F432:H432)</f>
        <v>81</v>
      </c>
      <c r="J432" s="15">
        <v>9</v>
      </c>
      <c r="K432" s="15">
        <v>3</v>
      </c>
      <c r="L432" s="15">
        <v>25</v>
      </c>
      <c r="M432" s="15">
        <v>4</v>
      </c>
      <c r="N432" s="15">
        <v>1</v>
      </c>
      <c r="O432" s="15">
        <v>35</v>
      </c>
      <c r="P432" s="15">
        <f>SUM(J432:O432)</f>
        <v>77</v>
      </c>
      <c r="Q432" s="15">
        <v>4</v>
      </c>
      <c r="R432" s="15">
        <v>0</v>
      </c>
      <c r="S432" s="15">
        <v>0</v>
      </c>
      <c r="T432" s="15">
        <v>0</v>
      </c>
      <c r="U432" s="15">
        <v>69</v>
      </c>
      <c r="V432" s="18"/>
      <c r="W432" s="18"/>
      <c r="X432" s="30"/>
      <c r="Y432" s="30"/>
      <c r="Z432" s="30"/>
      <c r="AA432" s="30"/>
      <c r="AB432" s="34"/>
      <c r="AC432" s="30"/>
      <c r="AD432" s="30"/>
      <c r="AE432" s="30"/>
      <c r="AF432" s="30"/>
      <c r="AG432" s="30"/>
      <c r="AH432" s="30"/>
      <c r="AI432" s="30"/>
      <c r="AJ432" s="30"/>
      <c r="AK432" s="30"/>
      <c r="AL432" s="30"/>
      <c r="AM432" s="30"/>
      <c r="AN432" s="30"/>
      <c r="AO432" s="30"/>
    </row>
    <row r="433" spans="1:41" s="39" customFormat="1" ht="20.25" customHeight="1">
      <c r="A433" s="32"/>
      <c r="B433" s="134"/>
      <c r="C433" s="107" t="s">
        <v>12</v>
      </c>
      <c r="D433" s="33"/>
      <c r="E433" s="23"/>
      <c r="F433" s="24">
        <f>SUM(F430:F432)</f>
        <v>144</v>
      </c>
      <c r="G433" s="24">
        <f>SUM(G430:G432)</f>
        <v>8</v>
      </c>
      <c r="H433" s="24">
        <f>SUM(H430:H432)</f>
        <v>0</v>
      </c>
      <c r="I433" s="25">
        <f>SUM(F433:H433)</f>
        <v>152</v>
      </c>
      <c r="J433" s="24">
        <f aca="true" t="shared" si="128" ref="J433:O433">SUM(J430:J432)</f>
        <v>31</v>
      </c>
      <c r="K433" s="24">
        <f t="shared" si="128"/>
        <v>14</v>
      </c>
      <c r="L433" s="24">
        <f t="shared" si="128"/>
        <v>29</v>
      </c>
      <c r="M433" s="24">
        <f t="shared" si="128"/>
        <v>7</v>
      </c>
      <c r="N433" s="24">
        <f t="shared" si="128"/>
        <v>3</v>
      </c>
      <c r="O433" s="24">
        <f t="shared" si="128"/>
        <v>55</v>
      </c>
      <c r="P433" s="24">
        <f>SUM(J433:O433)</f>
        <v>139</v>
      </c>
      <c r="Q433" s="24">
        <f>SUM(Q430:Q432)</f>
        <v>4</v>
      </c>
      <c r="R433" s="24">
        <f>SUM(R430:R432)</f>
        <v>9</v>
      </c>
      <c r="S433" s="24">
        <f>SUM(S430:S432)</f>
        <v>0</v>
      </c>
      <c r="T433" s="24">
        <f>SUM(T430:T432)</f>
        <v>0</v>
      </c>
      <c r="U433" s="24">
        <f>SUM(U430:U432)</f>
        <v>145</v>
      </c>
      <c r="V433" s="26">
        <f>IF(I433-Q433=0,"",IF(D433="",(P433+S433)/(I433-Q433),IF(AND(D433&lt;&gt;"",(P433+S433)/(I433-Q433)&gt;=50%),(P433+S433)/(I433-Q433),"")))</f>
        <v>0.9391891891891891</v>
      </c>
      <c r="W433" s="26">
        <f>IF(I433=O433,"",IF(V433="",0,(P433+Q433+S433-O433)/(I433-O433)))</f>
        <v>0.9072164948453608</v>
      </c>
      <c r="X433" s="30"/>
      <c r="Y433" s="30"/>
      <c r="Z433" s="30"/>
      <c r="AA433" s="30"/>
      <c r="AB433" s="34"/>
      <c r="AC433" s="30"/>
      <c r="AD433" s="30"/>
      <c r="AE433" s="30"/>
      <c r="AF433" s="30"/>
      <c r="AG433" s="30"/>
      <c r="AH433" s="30"/>
      <c r="AI433" s="30"/>
      <c r="AJ433" s="30"/>
      <c r="AK433" s="30"/>
      <c r="AL433" s="30"/>
      <c r="AM433" s="30"/>
      <c r="AN433" s="30"/>
      <c r="AO433" s="30"/>
    </row>
    <row r="434" spans="1:41" s="39" customFormat="1" ht="23.25" customHeight="1">
      <c r="A434" s="32"/>
      <c r="B434" s="138" t="s">
        <v>129</v>
      </c>
      <c r="C434" s="105" t="s">
        <v>2</v>
      </c>
      <c r="D434" s="29" t="s">
        <v>158</v>
      </c>
      <c r="E434" s="16" t="s">
        <v>177</v>
      </c>
      <c r="F434" s="15"/>
      <c r="G434" s="15"/>
      <c r="H434" s="15"/>
      <c r="I434" s="17"/>
      <c r="J434" s="15"/>
      <c r="K434" s="15"/>
      <c r="L434" s="15"/>
      <c r="M434" s="15"/>
      <c r="N434" s="15"/>
      <c r="O434" s="15"/>
      <c r="P434" s="15"/>
      <c r="Q434" s="15"/>
      <c r="R434" s="15"/>
      <c r="S434" s="15"/>
      <c r="T434" s="15"/>
      <c r="U434" s="15"/>
      <c r="V434" s="18"/>
      <c r="W434" s="18"/>
      <c r="X434" s="30"/>
      <c r="Y434" s="30"/>
      <c r="Z434" s="30"/>
      <c r="AA434" s="30"/>
      <c r="AB434" s="34"/>
      <c r="AC434" s="30"/>
      <c r="AD434" s="30"/>
      <c r="AE434" s="30"/>
      <c r="AF434" s="30"/>
      <c r="AG434" s="30"/>
      <c r="AH434" s="30"/>
      <c r="AI434" s="30"/>
      <c r="AJ434" s="30"/>
      <c r="AK434" s="30"/>
      <c r="AL434" s="30"/>
      <c r="AM434" s="30"/>
      <c r="AN434" s="30"/>
      <c r="AO434" s="30"/>
    </row>
    <row r="435" spans="1:41" s="39" customFormat="1" ht="18" customHeight="1">
      <c r="A435" s="32">
        <v>51</v>
      </c>
      <c r="B435" s="139"/>
      <c r="C435" s="106" t="str">
        <f>IF(A435="","VARA",VLOOKUP(A435,'[1]varas'!$A$4:$B$102,2))</f>
        <v>VT Goiana</v>
      </c>
      <c r="D435" s="15"/>
      <c r="E435" s="16"/>
      <c r="F435" s="15">
        <v>0</v>
      </c>
      <c r="G435" s="15">
        <v>0</v>
      </c>
      <c r="H435" s="15">
        <v>0</v>
      </c>
      <c r="I435" s="17">
        <f>SUM(F435:H435)</f>
        <v>0</v>
      </c>
      <c r="J435" s="15">
        <v>0</v>
      </c>
      <c r="K435" s="15">
        <v>0</v>
      </c>
      <c r="L435" s="15">
        <v>0</v>
      </c>
      <c r="M435" s="15">
        <v>0</v>
      </c>
      <c r="N435" s="15">
        <v>0</v>
      </c>
      <c r="O435" s="15">
        <v>0</v>
      </c>
      <c r="P435" s="15">
        <f>SUM(J435:O435)</f>
        <v>0</v>
      </c>
      <c r="Q435" s="15">
        <v>0</v>
      </c>
      <c r="R435" s="15">
        <v>0</v>
      </c>
      <c r="S435" s="15">
        <v>0</v>
      </c>
      <c r="T435" s="15">
        <v>0</v>
      </c>
      <c r="U435" s="15">
        <v>0</v>
      </c>
      <c r="V435" s="18"/>
      <c r="W435" s="18"/>
      <c r="X435" s="30"/>
      <c r="Y435" s="30"/>
      <c r="Z435" s="30"/>
      <c r="AA435" s="30"/>
      <c r="AB435" s="34"/>
      <c r="AC435" s="30"/>
      <c r="AD435" s="30"/>
      <c r="AE435" s="30"/>
      <c r="AF435" s="30"/>
      <c r="AG435" s="30"/>
      <c r="AH435" s="30"/>
      <c r="AI435" s="30"/>
      <c r="AJ435" s="30"/>
      <c r="AK435" s="30"/>
      <c r="AL435" s="30"/>
      <c r="AM435" s="30"/>
      <c r="AN435" s="30"/>
      <c r="AO435" s="30"/>
    </row>
    <row r="436" spans="1:41" s="39" customFormat="1" ht="20.25" customHeight="1">
      <c r="A436" s="32"/>
      <c r="B436" s="134"/>
      <c r="C436" s="107" t="s">
        <v>12</v>
      </c>
      <c r="D436" s="33"/>
      <c r="E436" s="23"/>
      <c r="F436" s="24">
        <f>SUM(F434:F435)</f>
        <v>0</v>
      </c>
      <c r="G436" s="24">
        <f>SUM(G434:G435)</f>
        <v>0</v>
      </c>
      <c r="H436" s="24">
        <f>SUM(H434:H435)</f>
        <v>0</v>
      </c>
      <c r="I436" s="25">
        <f>SUM(F436:H436)</f>
        <v>0</v>
      </c>
      <c r="J436" s="24">
        <f aca="true" t="shared" si="129" ref="J436:O436">SUM(J434:J435)</f>
        <v>0</v>
      </c>
      <c r="K436" s="24">
        <f t="shared" si="129"/>
        <v>0</v>
      </c>
      <c r="L436" s="24">
        <f t="shared" si="129"/>
        <v>0</v>
      </c>
      <c r="M436" s="24">
        <f t="shared" si="129"/>
        <v>0</v>
      </c>
      <c r="N436" s="24">
        <f t="shared" si="129"/>
        <v>0</v>
      </c>
      <c r="O436" s="24">
        <f t="shared" si="129"/>
        <v>0</v>
      </c>
      <c r="P436" s="24">
        <f>SUM(J436:O436)</f>
        <v>0</v>
      </c>
      <c r="Q436" s="24">
        <f>SUM(Q434:Q435)</f>
        <v>0</v>
      </c>
      <c r="R436" s="24">
        <f>SUM(R434:R435)</f>
        <v>0</v>
      </c>
      <c r="S436" s="24">
        <f>SUM(S434:S435)</f>
        <v>0</v>
      </c>
      <c r="T436" s="24">
        <f>SUM(T434:T435)</f>
        <v>0</v>
      </c>
      <c r="U436" s="24">
        <f>SUM(U434:U435)</f>
        <v>0</v>
      </c>
      <c r="V436" s="26">
        <f>IF(I436-Q436=0,"",IF(D436="",(P436+S436)/(I436-Q436),IF(AND(D436&lt;&gt;"",(P436+S436)/(I436-Q436)&gt;=50%),(P436+S436)/(I436-Q436),"")))</f>
      </c>
      <c r="W436" s="26">
        <f>IF(I436=O436,"",IF(V436="",0,(P436+Q436+S436-O436)/(I436-O436)))</f>
      </c>
      <c r="X436" s="30"/>
      <c r="Y436" s="30"/>
      <c r="Z436" s="30"/>
      <c r="AA436" s="30"/>
      <c r="AB436" s="34"/>
      <c r="AC436" s="30"/>
      <c r="AD436" s="30"/>
      <c r="AE436" s="30"/>
      <c r="AF436" s="30"/>
      <c r="AG436" s="30"/>
      <c r="AH436" s="30"/>
      <c r="AI436" s="30"/>
      <c r="AJ436" s="30"/>
      <c r="AK436" s="30"/>
      <c r="AL436" s="30"/>
      <c r="AM436" s="30"/>
      <c r="AN436" s="30"/>
      <c r="AO436" s="30"/>
    </row>
    <row r="437" spans="1:41" s="39" customFormat="1" ht="20.25" customHeight="1">
      <c r="A437" s="32"/>
      <c r="B437" s="116" t="s">
        <v>196</v>
      </c>
      <c r="C437" s="109" t="s">
        <v>154</v>
      </c>
      <c r="D437" s="90" t="s">
        <v>30</v>
      </c>
      <c r="E437" s="91" t="s">
        <v>216</v>
      </c>
      <c r="F437" s="113"/>
      <c r="G437" s="113"/>
      <c r="H437" s="113"/>
      <c r="I437" s="93"/>
      <c r="J437" s="92"/>
      <c r="K437" s="92"/>
      <c r="L437" s="92"/>
      <c r="M437" s="92"/>
      <c r="N437" s="92"/>
      <c r="O437" s="92"/>
      <c r="P437" s="92"/>
      <c r="Q437" s="92"/>
      <c r="R437" s="92"/>
      <c r="S437" s="92"/>
      <c r="T437" s="92"/>
      <c r="U437" s="92"/>
      <c r="V437" s="94"/>
      <c r="W437" s="94"/>
      <c r="X437" s="30"/>
      <c r="Y437" s="30"/>
      <c r="Z437" s="30"/>
      <c r="AA437" s="30"/>
      <c r="AB437" s="34"/>
      <c r="AC437" s="30"/>
      <c r="AD437" s="30"/>
      <c r="AE437" s="30"/>
      <c r="AF437" s="30"/>
      <c r="AG437" s="30"/>
      <c r="AH437" s="30"/>
      <c r="AI437" s="30"/>
      <c r="AJ437" s="30"/>
      <c r="AK437" s="30"/>
      <c r="AL437" s="30"/>
      <c r="AM437" s="30"/>
      <c r="AN437" s="30"/>
      <c r="AO437" s="30"/>
    </row>
    <row r="438" spans="1:41" s="39" customFormat="1" ht="20.25" customHeight="1">
      <c r="A438" s="32">
        <v>65</v>
      </c>
      <c r="B438" s="117"/>
      <c r="C438" s="106" t="str">
        <f>IF(A438="","VARA",VLOOKUP(A438,'[1]varas'!$A$4:$B$102,2))</f>
        <v>3ª VT Ipojuca</v>
      </c>
      <c r="D438" s="15"/>
      <c r="E438" s="16"/>
      <c r="F438" s="92">
        <f>27+13+4</f>
        <v>44</v>
      </c>
      <c r="G438" s="92">
        <v>4</v>
      </c>
      <c r="H438" s="92">
        <v>0</v>
      </c>
      <c r="I438" s="93">
        <f>SUM(F438:H438)</f>
        <v>48</v>
      </c>
      <c r="J438" s="92">
        <v>16</v>
      </c>
      <c r="K438" s="92">
        <v>0</v>
      </c>
      <c r="L438" s="92">
        <v>4</v>
      </c>
      <c r="M438" s="92">
        <v>0</v>
      </c>
      <c r="N438" s="92">
        <v>0</v>
      </c>
      <c r="O438" s="92">
        <v>13</v>
      </c>
      <c r="P438" s="92">
        <f>SUM(J438:O438)</f>
        <v>33</v>
      </c>
      <c r="Q438" s="92">
        <v>15</v>
      </c>
      <c r="R438" s="92">
        <v>0</v>
      </c>
      <c r="S438" s="92">
        <v>0</v>
      </c>
      <c r="T438" s="92">
        <v>0</v>
      </c>
      <c r="U438" s="92">
        <v>100</v>
      </c>
      <c r="V438" s="94"/>
      <c r="W438" s="94"/>
      <c r="X438" s="30"/>
      <c r="Y438" s="30"/>
      <c r="Z438" s="30"/>
      <c r="AA438" s="30"/>
      <c r="AB438" s="34"/>
      <c r="AC438" s="30"/>
      <c r="AD438" s="30"/>
      <c r="AE438" s="30"/>
      <c r="AF438" s="30"/>
      <c r="AG438" s="30"/>
      <c r="AH438" s="30"/>
      <c r="AI438" s="30"/>
      <c r="AJ438" s="30"/>
      <c r="AK438" s="30"/>
      <c r="AL438" s="30"/>
      <c r="AM438" s="30"/>
      <c r="AN438" s="30"/>
      <c r="AO438" s="30"/>
    </row>
    <row r="439" spans="1:41" s="39" customFormat="1" ht="20.25" customHeight="1">
      <c r="A439" s="32"/>
      <c r="B439" s="118"/>
      <c r="C439" s="114" t="s">
        <v>12</v>
      </c>
      <c r="D439" s="97"/>
      <c r="E439" s="98"/>
      <c r="F439" s="99">
        <f>SUM(F437:F438)</f>
        <v>44</v>
      </c>
      <c r="G439" s="99">
        <f>SUM(G437:G438)</f>
        <v>4</v>
      </c>
      <c r="H439" s="99">
        <f>SUM(H437:H438)</f>
        <v>0</v>
      </c>
      <c r="I439" s="100">
        <f>SUM(F439:H439)</f>
        <v>48</v>
      </c>
      <c r="J439" s="99">
        <f aca="true" t="shared" si="130" ref="J439:O439">SUM(J437:J438)</f>
        <v>16</v>
      </c>
      <c r="K439" s="99">
        <f t="shared" si="130"/>
        <v>0</v>
      </c>
      <c r="L439" s="99">
        <f t="shared" si="130"/>
        <v>4</v>
      </c>
      <c r="M439" s="99">
        <f t="shared" si="130"/>
        <v>0</v>
      </c>
      <c r="N439" s="99">
        <f t="shared" si="130"/>
        <v>0</v>
      </c>
      <c r="O439" s="99">
        <f t="shared" si="130"/>
        <v>13</v>
      </c>
      <c r="P439" s="99">
        <f>SUM(J439:O439)</f>
        <v>33</v>
      </c>
      <c r="Q439" s="99">
        <f>SUM(Q437:Q438)</f>
        <v>15</v>
      </c>
      <c r="R439" s="99">
        <f>SUM(R437:R438)</f>
        <v>0</v>
      </c>
      <c r="S439" s="99">
        <f>SUM(S437:S438)</f>
        <v>0</v>
      </c>
      <c r="T439" s="99">
        <f>SUM(T437:T438)</f>
        <v>0</v>
      </c>
      <c r="U439" s="99">
        <f>SUM(U437:U438)</f>
        <v>100</v>
      </c>
      <c r="V439" s="101">
        <f>IF(I439-Q439=0,"",IF(D439="",(P439+S439)/(I439-Q439),IF(AND(D439&lt;&gt;"",(P439+S439)/(I439-Q439)&gt;=50%),(P439+S439)/(I439-Q439),"")))</f>
        <v>1</v>
      </c>
      <c r="W439" s="101">
        <f>IF(I439=O439,"",IF(V439="",0,(P439+Q439+S439-O439)/(I439-O439)))</f>
        <v>1</v>
      </c>
      <c r="X439" s="30"/>
      <c r="Y439" s="30"/>
      <c r="Z439" s="30"/>
      <c r="AA439" s="30"/>
      <c r="AB439" s="34"/>
      <c r="AC439" s="30"/>
      <c r="AD439" s="30"/>
      <c r="AE439" s="30"/>
      <c r="AF439" s="30"/>
      <c r="AG439" s="30"/>
      <c r="AH439" s="30"/>
      <c r="AI439" s="30"/>
      <c r="AJ439" s="30"/>
      <c r="AK439" s="30"/>
      <c r="AL439" s="30"/>
      <c r="AM439" s="30"/>
      <c r="AN439" s="30"/>
      <c r="AO439" s="30"/>
    </row>
    <row r="440" spans="1:41" s="39" customFormat="1" ht="18.75" customHeight="1">
      <c r="A440" s="32"/>
      <c r="B440" s="130" t="s">
        <v>130</v>
      </c>
      <c r="C440" s="14" t="s">
        <v>2</v>
      </c>
      <c r="D440" s="29"/>
      <c r="E440" s="16"/>
      <c r="F440" s="15"/>
      <c r="G440" s="15"/>
      <c r="H440" s="15"/>
      <c r="I440" s="17"/>
      <c r="J440" s="15"/>
      <c r="K440" s="15"/>
      <c r="L440" s="15"/>
      <c r="M440" s="15"/>
      <c r="N440" s="15"/>
      <c r="O440" s="15"/>
      <c r="P440" s="15"/>
      <c r="Q440" s="15"/>
      <c r="R440" s="15"/>
      <c r="S440" s="15"/>
      <c r="T440" s="15"/>
      <c r="U440" s="15"/>
      <c r="V440" s="18"/>
      <c r="W440" s="18"/>
      <c r="X440" s="30"/>
      <c r="Y440" s="30"/>
      <c r="Z440" s="30"/>
      <c r="AA440" s="30"/>
      <c r="AB440" s="34"/>
      <c r="AC440" s="30"/>
      <c r="AD440" s="30"/>
      <c r="AE440" s="30"/>
      <c r="AF440" s="30"/>
      <c r="AG440" s="30"/>
      <c r="AH440" s="30"/>
      <c r="AI440" s="30"/>
      <c r="AJ440" s="30"/>
      <c r="AK440" s="30"/>
      <c r="AL440" s="30"/>
      <c r="AM440" s="30"/>
      <c r="AN440" s="30"/>
      <c r="AO440" s="30"/>
    </row>
    <row r="441" spans="1:41" s="39" customFormat="1" ht="18.75" customHeight="1">
      <c r="A441" s="32">
        <v>16</v>
      </c>
      <c r="B441" s="130"/>
      <c r="C441" s="20" t="str">
        <f>IF(A441="","VARA",VLOOKUP(A441,'[1]varas'!$A$4:$B$102,2))</f>
        <v>16ª VT Recife</v>
      </c>
      <c r="D441" s="29"/>
      <c r="E441" s="16"/>
      <c r="F441" s="15">
        <v>2</v>
      </c>
      <c r="G441" s="15">
        <v>0</v>
      </c>
      <c r="H441" s="15">
        <v>0</v>
      </c>
      <c r="I441" s="17">
        <f>SUM(F441:H441)</f>
        <v>2</v>
      </c>
      <c r="J441" s="15">
        <v>0</v>
      </c>
      <c r="K441" s="15">
        <v>0</v>
      </c>
      <c r="L441" s="15">
        <v>0</v>
      </c>
      <c r="M441" s="15">
        <v>0</v>
      </c>
      <c r="N441" s="15">
        <v>0</v>
      </c>
      <c r="O441" s="15">
        <v>2</v>
      </c>
      <c r="P441" s="15">
        <f>SUM(J441:O441)</f>
        <v>2</v>
      </c>
      <c r="Q441" s="15">
        <v>0</v>
      </c>
      <c r="R441" s="15">
        <v>0</v>
      </c>
      <c r="S441" s="15">
        <v>0</v>
      </c>
      <c r="T441" s="15">
        <v>0</v>
      </c>
      <c r="U441" s="15">
        <v>2</v>
      </c>
      <c r="V441" s="18"/>
      <c r="W441" s="18"/>
      <c r="X441" s="30"/>
      <c r="Y441" s="30"/>
      <c r="Z441" s="30"/>
      <c r="AA441" s="30"/>
      <c r="AB441" s="34"/>
      <c r="AC441" s="30"/>
      <c r="AD441" s="30"/>
      <c r="AE441" s="30"/>
      <c r="AF441" s="30"/>
      <c r="AG441" s="30"/>
      <c r="AH441" s="30"/>
      <c r="AI441" s="30"/>
      <c r="AJ441" s="30"/>
      <c r="AK441" s="30"/>
      <c r="AL441" s="30"/>
      <c r="AM441" s="30"/>
      <c r="AN441" s="30"/>
      <c r="AO441" s="30"/>
    </row>
    <row r="442" spans="1:41" s="39" customFormat="1" ht="18.75" customHeight="1">
      <c r="A442" s="32">
        <v>17</v>
      </c>
      <c r="B442" s="137"/>
      <c r="C442" s="20" t="str">
        <f>IF(A442="","VARA",VLOOKUP(A442,'[1]varas'!$A$4:$B$102,2))</f>
        <v>17ª VT Recife</v>
      </c>
      <c r="D442" s="29"/>
      <c r="E442" s="16"/>
      <c r="F442" s="15">
        <f>52+33+19+17</f>
        <v>121</v>
      </c>
      <c r="G442" s="15">
        <v>13</v>
      </c>
      <c r="H442" s="15">
        <v>0</v>
      </c>
      <c r="I442" s="17">
        <f>SUM(F442:H442)</f>
        <v>134</v>
      </c>
      <c r="J442" s="15">
        <v>35</v>
      </c>
      <c r="K442" s="15">
        <v>19</v>
      </c>
      <c r="L442" s="15">
        <v>19</v>
      </c>
      <c r="M442" s="15">
        <v>17</v>
      </c>
      <c r="N442" s="15">
        <v>0</v>
      </c>
      <c r="O442" s="15">
        <v>33</v>
      </c>
      <c r="P442" s="15">
        <f>SUM(J442:O442)</f>
        <v>123</v>
      </c>
      <c r="Q442" s="15">
        <v>10</v>
      </c>
      <c r="R442" s="15">
        <v>0</v>
      </c>
      <c r="S442" s="15">
        <v>0</v>
      </c>
      <c r="T442" s="15">
        <v>1</v>
      </c>
      <c r="U442" s="15">
        <v>266</v>
      </c>
      <c r="V442" s="18"/>
      <c r="W442" s="18"/>
      <c r="X442" s="30"/>
      <c r="Y442" s="30"/>
      <c r="Z442" s="30"/>
      <c r="AA442" s="30"/>
      <c r="AB442" s="34"/>
      <c r="AC442" s="30"/>
      <c r="AD442" s="30"/>
      <c r="AE442" s="30"/>
      <c r="AF442" s="30"/>
      <c r="AG442" s="30"/>
      <c r="AH442" s="30"/>
      <c r="AI442" s="30"/>
      <c r="AJ442" s="30"/>
      <c r="AK442" s="30"/>
      <c r="AL442" s="30"/>
      <c r="AM442" s="30"/>
      <c r="AN442" s="30"/>
      <c r="AO442" s="30"/>
    </row>
    <row r="443" spans="1:41" s="39" customFormat="1" ht="21.75" customHeight="1">
      <c r="A443" s="32"/>
      <c r="B443" s="152"/>
      <c r="C443" s="21" t="s">
        <v>12</v>
      </c>
      <c r="D443" s="33"/>
      <c r="E443" s="23"/>
      <c r="F443" s="24">
        <f>SUM(F440:F442)</f>
        <v>123</v>
      </c>
      <c r="G443" s="24">
        <f>SUM(G440:G442)</f>
        <v>13</v>
      </c>
      <c r="H443" s="24">
        <f>SUM(H440:H442)</f>
        <v>0</v>
      </c>
      <c r="I443" s="25">
        <f>SUM(F443:H443)</f>
        <v>136</v>
      </c>
      <c r="J443" s="24">
        <f aca="true" t="shared" si="131" ref="J443:O443">SUM(J440:J442)</f>
        <v>35</v>
      </c>
      <c r="K443" s="24">
        <f t="shared" si="131"/>
        <v>19</v>
      </c>
      <c r="L443" s="24">
        <f t="shared" si="131"/>
        <v>19</v>
      </c>
      <c r="M443" s="24">
        <f t="shared" si="131"/>
        <v>17</v>
      </c>
      <c r="N443" s="24">
        <f t="shared" si="131"/>
        <v>0</v>
      </c>
      <c r="O443" s="24">
        <f t="shared" si="131"/>
        <v>35</v>
      </c>
      <c r="P443" s="24">
        <f>SUM(J443:O443)</f>
        <v>125</v>
      </c>
      <c r="Q443" s="24">
        <f>SUM(Q440:Q442)</f>
        <v>10</v>
      </c>
      <c r="R443" s="24">
        <f>SUM(R440:R442)</f>
        <v>0</v>
      </c>
      <c r="S443" s="24">
        <f>SUM(S440:S442)</f>
        <v>0</v>
      </c>
      <c r="T443" s="24">
        <f>SUM(T440:T442)</f>
        <v>1</v>
      </c>
      <c r="U443" s="24">
        <f>SUM(U440:U442)</f>
        <v>268</v>
      </c>
      <c r="V443" s="26">
        <f>IF(I443-Q443=0,"",IF(D443="",(P443+S443)/(I443-Q443),IF(AND(D443&lt;&gt;"",(P443+S443)/(I443-Q443)&gt;=50%),(P443+S443)/(I443-Q443),"")))</f>
        <v>0.9920634920634921</v>
      </c>
      <c r="W443" s="26">
        <f>IF(I443=O443,"",IF(V443="",0,(P443+Q443+S443-O443)/(I443-O443)))</f>
        <v>0.9900990099009901</v>
      </c>
      <c r="X443" s="30"/>
      <c r="Y443" s="30"/>
      <c r="Z443" s="30"/>
      <c r="AA443" s="30"/>
      <c r="AB443" s="34"/>
      <c r="AC443" s="30"/>
      <c r="AD443" s="30"/>
      <c r="AE443" s="30"/>
      <c r="AF443" s="30"/>
      <c r="AG443" s="30"/>
      <c r="AH443" s="30"/>
      <c r="AI443" s="30"/>
      <c r="AJ443" s="30"/>
      <c r="AK443" s="30"/>
      <c r="AL443" s="30"/>
      <c r="AM443" s="30"/>
      <c r="AN443" s="30"/>
      <c r="AO443" s="30"/>
    </row>
    <row r="444" spans="1:41" s="39" customFormat="1" ht="21.75" customHeight="1">
      <c r="A444" s="32"/>
      <c r="B444" s="138" t="s">
        <v>131</v>
      </c>
      <c r="C444" s="105" t="s">
        <v>2</v>
      </c>
      <c r="D444" s="29"/>
      <c r="E444" s="16" t="s">
        <v>27</v>
      </c>
      <c r="F444" s="15"/>
      <c r="G444" s="15"/>
      <c r="H444" s="15"/>
      <c r="I444" s="17"/>
      <c r="J444" s="15"/>
      <c r="K444" s="15"/>
      <c r="L444" s="15"/>
      <c r="M444" s="15"/>
      <c r="N444" s="15"/>
      <c r="O444" s="15"/>
      <c r="P444" s="15"/>
      <c r="Q444" s="15"/>
      <c r="R444" s="15"/>
      <c r="S444" s="15"/>
      <c r="T444" s="15"/>
      <c r="U444" s="15"/>
      <c r="V444" s="18"/>
      <c r="W444" s="18"/>
      <c r="X444" s="30"/>
      <c r="Y444" s="30"/>
      <c r="Z444" s="30"/>
      <c r="AA444" s="30"/>
      <c r="AB444" s="34"/>
      <c r="AC444" s="30"/>
      <c r="AD444" s="30"/>
      <c r="AE444" s="30"/>
      <c r="AF444" s="30"/>
      <c r="AG444" s="30"/>
      <c r="AH444" s="30"/>
      <c r="AI444" s="30"/>
      <c r="AJ444" s="30"/>
      <c r="AK444" s="30"/>
      <c r="AL444" s="30"/>
      <c r="AM444" s="30"/>
      <c r="AN444" s="30"/>
      <c r="AO444" s="30"/>
    </row>
    <row r="445" spans="1:41" s="39" customFormat="1" ht="18" customHeight="1">
      <c r="A445" s="32">
        <v>51</v>
      </c>
      <c r="B445" s="139"/>
      <c r="C445" s="106" t="str">
        <f>IF(A445="","VARA",VLOOKUP(A445,'[1]varas'!$A$4:$B$102,2))</f>
        <v>VT Goiana</v>
      </c>
      <c r="D445" s="15"/>
      <c r="E445" s="16"/>
      <c r="F445" s="15">
        <f>51+63+8</f>
        <v>122</v>
      </c>
      <c r="G445" s="15">
        <v>12</v>
      </c>
      <c r="H445" s="15">
        <v>0</v>
      </c>
      <c r="I445" s="17">
        <f>SUM(F445:H445)</f>
        <v>134</v>
      </c>
      <c r="J445" s="15">
        <v>27</v>
      </c>
      <c r="K445" s="15">
        <v>25</v>
      </c>
      <c r="L445" s="15">
        <v>5</v>
      </c>
      <c r="M445" s="15">
        <v>3</v>
      </c>
      <c r="N445" s="15">
        <v>0</v>
      </c>
      <c r="O445" s="15">
        <v>63</v>
      </c>
      <c r="P445" s="15">
        <f>SUM(J445:O445)</f>
        <v>123</v>
      </c>
      <c r="Q445" s="15">
        <v>10</v>
      </c>
      <c r="R445" s="15">
        <v>0</v>
      </c>
      <c r="S445" s="15">
        <v>0</v>
      </c>
      <c r="T445" s="15">
        <v>1</v>
      </c>
      <c r="U445" s="15">
        <v>184</v>
      </c>
      <c r="V445" s="18"/>
      <c r="W445" s="18"/>
      <c r="X445" s="30"/>
      <c r="Y445" s="30"/>
      <c r="Z445" s="30"/>
      <c r="AA445" s="30"/>
      <c r="AB445" s="34"/>
      <c r="AC445" s="30"/>
      <c r="AD445" s="30"/>
      <c r="AE445" s="30"/>
      <c r="AF445" s="30"/>
      <c r="AG445" s="30"/>
      <c r="AH445" s="30"/>
      <c r="AI445" s="30"/>
      <c r="AJ445" s="30"/>
      <c r="AK445" s="30"/>
      <c r="AL445" s="30"/>
      <c r="AM445" s="30"/>
      <c r="AN445" s="30"/>
      <c r="AO445" s="30"/>
    </row>
    <row r="446" spans="1:41" s="39" customFormat="1" ht="18" customHeight="1">
      <c r="A446" s="32"/>
      <c r="B446" s="134"/>
      <c r="C446" s="107" t="s">
        <v>12</v>
      </c>
      <c r="D446" s="33"/>
      <c r="E446" s="23"/>
      <c r="F446" s="24">
        <f>SUM(F444:F445)</f>
        <v>122</v>
      </c>
      <c r="G446" s="24">
        <f>SUM(G444:G445)</f>
        <v>12</v>
      </c>
      <c r="H446" s="24">
        <f>SUM(H444:H445)</f>
        <v>0</v>
      </c>
      <c r="I446" s="40">
        <f>SUM(F446:H446)</f>
        <v>134</v>
      </c>
      <c r="J446" s="24">
        <f aca="true" t="shared" si="132" ref="J446:O446">SUM(J444:J445)</f>
        <v>27</v>
      </c>
      <c r="K446" s="24">
        <f t="shared" si="132"/>
        <v>25</v>
      </c>
      <c r="L446" s="24">
        <f t="shared" si="132"/>
        <v>5</v>
      </c>
      <c r="M446" s="24">
        <f t="shared" si="132"/>
        <v>3</v>
      </c>
      <c r="N446" s="24">
        <f t="shared" si="132"/>
        <v>0</v>
      </c>
      <c r="O446" s="24">
        <f t="shared" si="132"/>
        <v>63</v>
      </c>
      <c r="P446" s="24">
        <f>SUM(J446:O446)</f>
        <v>123</v>
      </c>
      <c r="Q446" s="24">
        <f>SUM(Q444:Q445)</f>
        <v>10</v>
      </c>
      <c r="R446" s="24">
        <f>SUM(R444:R445)</f>
        <v>0</v>
      </c>
      <c r="S446" s="24">
        <f>SUM(S444:S445)</f>
        <v>0</v>
      </c>
      <c r="T446" s="24">
        <f>SUM(T444:T445)</f>
        <v>1</v>
      </c>
      <c r="U446" s="24">
        <f>SUM(U444:U445)</f>
        <v>184</v>
      </c>
      <c r="V446" s="26">
        <f>IF(I446-Q446=0,"",IF(D446="",(P446+S446)/(I446-Q446),IF(AND(D446&lt;&gt;"",(P446+S446)/(I446-Q446)&gt;=50%),(P446+S446)/(I446-Q446),"")))</f>
        <v>0.9919354838709677</v>
      </c>
      <c r="W446" s="26">
        <f>IF(I446=O446,"",IF(V446="",0,(P446+Q446+S446-O446)/(I446-O446)))</f>
        <v>0.9859154929577465</v>
      </c>
      <c r="X446" s="30"/>
      <c r="Y446" s="30"/>
      <c r="Z446" s="30"/>
      <c r="AA446" s="30"/>
      <c r="AB446" s="34"/>
      <c r="AC446" s="30"/>
      <c r="AD446" s="30"/>
      <c r="AE446" s="30"/>
      <c r="AF446" s="30"/>
      <c r="AG446" s="30"/>
      <c r="AH446" s="30"/>
      <c r="AI446" s="30"/>
      <c r="AJ446" s="30"/>
      <c r="AK446" s="30"/>
      <c r="AL446" s="30"/>
      <c r="AM446" s="30"/>
      <c r="AN446" s="30"/>
      <c r="AO446" s="30"/>
    </row>
    <row r="447" spans="1:41" s="39" customFormat="1" ht="13.5" customHeight="1">
      <c r="A447" s="32"/>
      <c r="B447" s="108"/>
      <c r="C447" s="81"/>
      <c r="D447" s="82"/>
      <c r="E447" s="83"/>
      <c r="F447" s="84"/>
      <c r="G447" s="84"/>
      <c r="H447" s="84"/>
      <c r="I447" s="85"/>
      <c r="J447" s="84"/>
      <c r="K447" s="84"/>
      <c r="L447" s="84"/>
      <c r="M447" s="84"/>
      <c r="N447" s="84"/>
      <c r="O447" s="84"/>
      <c r="P447" s="84"/>
      <c r="Q447" s="84"/>
      <c r="R447" s="84"/>
      <c r="S447" s="84"/>
      <c r="T447" s="84"/>
      <c r="U447" s="84"/>
      <c r="V447" s="86"/>
      <c r="W447" s="86"/>
      <c r="X447" s="30"/>
      <c r="Y447" s="30"/>
      <c r="Z447" s="30"/>
      <c r="AA447" s="30"/>
      <c r="AB447" s="34"/>
      <c r="AC447" s="30"/>
      <c r="AD447" s="30"/>
      <c r="AE447" s="30"/>
      <c r="AF447" s="30"/>
      <c r="AG447" s="30"/>
      <c r="AH447" s="30"/>
      <c r="AI447" s="30"/>
      <c r="AJ447" s="30"/>
      <c r="AK447" s="30"/>
      <c r="AL447" s="30"/>
      <c r="AM447" s="30"/>
      <c r="AN447" s="30"/>
      <c r="AO447" s="30"/>
    </row>
    <row r="448" spans="1:41" s="39" customFormat="1" ht="17.25" customHeight="1">
      <c r="A448" s="32"/>
      <c r="B448" s="104" t="s">
        <v>206</v>
      </c>
      <c r="C448" s="81"/>
      <c r="D448" s="82"/>
      <c r="E448" s="83"/>
      <c r="F448" s="84"/>
      <c r="G448" s="84"/>
      <c r="H448" s="84"/>
      <c r="I448" s="85"/>
      <c r="J448" s="84"/>
      <c r="K448" s="84"/>
      <c r="L448" s="84"/>
      <c r="M448" s="84"/>
      <c r="N448" s="84"/>
      <c r="O448" s="84"/>
      <c r="P448" s="84"/>
      <c r="Q448" s="84"/>
      <c r="R448" s="84"/>
      <c r="S448" s="84"/>
      <c r="T448" s="84"/>
      <c r="U448" s="84"/>
      <c r="V448" s="86"/>
      <c r="W448" s="86"/>
      <c r="X448" s="30"/>
      <c r="Y448" s="30"/>
      <c r="Z448" s="30"/>
      <c r="AA448" s="30"/>
      <c r="AB448" s="34"/>
      <c r="AC448" s="30"/>
      <c r="AD448" s="30"/>
      <c r="AE448" s="30"/>
      <c r="AF448" s="30"/>
      <c r="AG448" s="30"/>
      <c r="AH448" s="30"/>
      <c r="AI448" s="30"/>
      <c r="AJ448" s="30"/>
      <c r="AK448" s="30"/>
      <c r="AL448" s="30"/>
      <c r="AM448" s="30"/>
      <c r="AN448" s="30"/>
      <c r="AO448" s="30"/>
    </row>
    <row r="449" spans="1:41" s="39" customFormat="1" ht="17.25" customHeight="1">
      <c r="A449" s="32"/>
      <c r="B449" s="104" t="s">
        <v>205</v>
      </c>
      <c r="C449" s="81"/>
      <c r="D449" s="82"/>
      <c r="E449" s="83"/>
      <c r="F449" s="84"/>
      <c r="G449" s="84"/>
      <c r="H449" s="84"/>
      <c r="I449" s="85"/>
      <c r="J449" s="84"/>
      <c r="K449" s="84"/>
      <c r="L449" s="84"/>
      <c r="M449" s="84"/>
      <c r="N449" s="84"/>
      <c r="O449" s="84"/>
      <c r="P449" s="84"/>
      <c r="Q449" s="84"/>
      <c r="R449" s="84"/>
      <c r="S449" s="84"/>
      <c r="T449" s="84"/>
      <c r="U449" s="84"/>
      <c r="V449" s="86"/>
      <c r="W449" s="86"/>
      <c r="X449" s="30"/>
      <c r="Y449" s="30"/>
      <c r="Z449" s="30"/>
      <c r="AA449" s="30"/>
      <c r="AB449" s="34"/>
      <c r="AC449" s="30"/>
      <c r="AD449" s="30"/>
      <c r="AE449" s="30"/>
      <c r="AF449" s="30"/>
      <c r="AG449" s="30"/>
      <c r="AH449" s="30"/>
      <c r="AI449" s="30"/>
      <c r="AJ449" s="30"/>
      <c r="AK449" s="30"/>
      <c r="AL449" s="30"/>
      <c r="AM449" s="30"/>
      <c r="AN449" s="30"/>
      <c r="AO449" s="30"/>
    </row>
    <row r="450" spans="1:41" s="39" customFormat="1" ht="17.25" customHeight="1">
      <c r="A450" s="32"/>
      <c r="B450" s="104" t="s">
        <v>214</v>
      </c>
      <c r="C450" s="81"/>
      <c r="D450" s="82"/>
      <c r="E450" s="83"/>
      <c r="F450" s="84"/>
      <c r="G450" s="84"/>
      <c r="H450" s="84"/>
      <c r="I450" s="85"/>
      <c r="J450" s="84"/>
      <c r="K450" s="84"/>
      <c r="L450" s="84"/>
      <c r="M450" s="84"/>
      <c r="N450" s="84"/>
      <c r="O450" s="84"/>
      <c r="P450" s="84"/>
      <c r="Q450" s="84"/>
      <c r="R450" s="84"/>
      <c r="S450" s="84"/>
      <c r="T450" s="84"/>
      <c r="U450" s="84"/>
      <c r="V450" s="86"/>
      <c r="W450" s="86"/>
      <c r="X450" s="30"/>
      <c r="Y450" s="30"/>
      <c r="Z450" s="30"/>
      <c r="AA450" s="30"/>
      <c r="AB450" s="34"/>
      <c r="AC450" s="30"/>
      <c r="AD450" s="30"/>
      <c r="AE450" s="30"/>
      <c r="AF450" s="30"/>
      <c r="AG450" s="30"/>
      <c r="AH450" s="30"/>
      <c r="AI450" s="30"/>
      <c r="AJ450" s="30"/>
      <c r="AK450" s="30"/>
      <c r="AL450" s="30"/>
      <c r="AM450" s="30"/>
      <c r="AN450" s="30"/>
      <c r="AO450" s="30"/>
    </row>
    <row r="451" spans="1:41" s="39" customFormat="1" ht="17.25" customHeight="1">
      <c r="A451" s="32"/>
      <c r="B451" s="104" t="s">
        <v>215</v>
      </c>
      <c r="C451" s="81"/>
      <c r="D451" s="82"/>
      <c r="E451" s="83"/>
      <c r="F451" s="84"/>
      <c r="G451" s="84"/>
      <c r="H451" s="84"/>
      <c r="I451" s="85"/>
      <c r="J451" s="84"/>
      <c r="K451" s="84"/>
      <c r="L451" s="84"/>
      <c r="M451" s="84"/>
      <c r="N451" s="84"/>
      <c r="O451" s="84"/>
      <c r="P451" s="84"/>
      <c r="Q451" s="84"/>
      <c r="R451" s="84"/>
      <c r="S451" s="84"/>
      <c r="T451" s="84"/>
      <c r="U451" s="84"/>
      <c r="V451" s="86"/>
      <c r="W451" s="86"/>
      <c r="X451" s="30"/>
      <c r="Y451" s="30"/>
      <c r="Z451" s="30"/>
      <c r="AA451" s="30"/>
      <c r="AB451" s="34"/>
      <c r="AC451" s="30"/>
      <c r="AD451" s="30"/>
      <c r="AE451" s="30"/>
      <c r="AF451" s="30"/>
      <c r="AG451" s="30"/>
      <c r="AH451" s="30"/>
      <c r="AI451" s="30"/>
      <c r="AJ451" s="30"/>
      <c r="AK451" s="30"/>
      <c r="AL451" s="30"/>
      <c r="AM451" s="30"/>
      <c r="AN451" s="30"/>
      <c r="AO451" s="30"/>
    </row>
    <row r="452" spans="1:41" s="39" customFormat="1" ht="14.25" customHeight="1" thickBot="1">
      <c r="A452" s="32"/>
      <c r="B452" s="112"/>
      <c r="C452" s="81"/>
      <c r="D452" s="82"/>
      <c r="E452" s="83"/>
      <c r="F452" s="84"/>
      <c r="G452" s="84"/>
      <c r="H452" s="84"/>
      <c r="I452" s="85"/>
      <c r="J452" s="84"/>
      <c r="K452" s="84"/>
      <c r="L452" s="84"/>
      <c r="M452" s="84"/>
      <c r="N452" s="84"/>
      <c r="O452" s="84"/>
      <c r="P452" s="84"/>
      <c r="Q452" s="84"/>
      <c r="R452" s="84"/>
      <c r="S452" s="84"/>
      <c r="T452" s="84"/>
      <c r="U452" s="84"/>
      <c r="V452" s="86"/>
      <c r="W452" s="86"/>
      <c r="X452" s="30"/>
      <c r="Y452" s="30"/>
      <c r="Z452" s="30"/>
      <c r="AA452" s="30"/>
      <c r="AB452" s="34"/>
      <c r="AC452" s="30"/>
      <c r="AD452" s="30"/>
      <c r="AE452" s="30"/>
      <c r="AF452" s="30"/>
      <c r="AG452" s="30"/>
      <c r="AH452" s="30"/>
      <c r="AI452" s="30"/>
      <c r="AJ452" s="30"/>
      <c r="AK452" s="30"/>
      <c r="AL452" s="30"/>
      <c r="AM452" s="30"/>
      <c r="AN452" s="30"/>
      <c r="AO452" s="30"/>
    </row>
    <row r="453" spans="2:23" ht="12" customHeight="1">
      <c r="B453" s="54" t="s">
        <v>132</v>
      </c>
      <c r="C453" s="55"/>
      <c r="D453" s="56"/>
      <c r="E453" s="57"/>
      <c r="F453" s="57" t="s">
        <v>133</v>
      </c>
      <c r="G453" s="58"/>
      <c r="H453" s="56"/>
      <c r="I453" s="56"/>
      <c r="J453" s="56"/>
      <c r="K453" s="59" t="s">
        <v>134</v>
      </c>
      <c r="L453" s="56"/>
      <c r="M453" s="56"/>
      <c r="N453" s="56"/>
      <c r="O453" s="59"/>
      <c r="P453" s="59" t="s">
        <v>135</v>
      </c>
      <c r="Q453" s="56"/>
      <c r="R453" s="56"/>
      <c r="S453" s="59"/>
      <c r="T453" s="59" t="s">
        <v>153</v>
      </c>
      <c r="U453" s="59"/>
      <c r="V453" s="59"/>
      <c r="W453" s="60"/>
    </row>
    <row r="454" spans="2:23" ht="12" customHeight="1">
      <c r="B454" s="61" t="s">
        <v>136</v>
      </c>
      <c r="F454" s="62" t="s">
        <v>137</v>
      </c>
      <c r="G454" s="2"/>
      <c r="K454" s="62" t="s">
        <v>138</v>
      </c>
      <c r="O454" s="62"/>
      <c r="P454" s="62" t="s">
        <v>139</v>
      </c>
      <c r="Q454" s="1"/>
      <c r="R454" s="1"/>
      <c r="S454" s="62"/>
      <c r="T454" s="62" t="s">
        <v>157</v>
      </c>
      <c r="U454" s="62"/>
      <c r="W454" s="63"/>
    </row>
    <row r="455" spans="1:41" s="62" customFormat="1" ht="12" customHeight="1">
      <c r="A455" s="1"/>
      <c r="B455" s="61" t="s">
        <v>140</v>
      </c>
      <c r="C455" s="3"/>
      <c r="D455" s="1"/>
      <c r="F455" s="62" t="s">
        <v>141</v>
      </c>
      <c r="G455" s="2"/>
      <c r="H455" s="1"/>
      <c r="K455" s="62" t="s">
        <v>142</v>
      </c>
      <c r="L455" s="1"/>
      <c r="M455" s="1"/>
      <c r="N455" s="1"/>
      <c r="O455" s="64"/>
      <c r="P455" s="64" t="s">
        <v>143</v>
      </c>
      <c r="Q455" s="1"/>
      <c r="T455" s="62" t="s">
        <v>162</v>
      </c>
      <c r="V455" s="1"/>
      <c r="W455" s="63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</row>
    <row r="456" spans="1:41" s="62" customFormat="1" ht="12" customHeight="1">
      <c r="A456" s="1"/>
      <c r="B456" s="65" t="s">
        <v>152</v>
      </c>
      <c r="C456" s="3"/>
      <c r="D456" s="1"/>
      <c r="F456" s="62" t="s">
        <v>144</v>
      </c>
      <c r="H456" s="1"/>
      <c r="K456" s="62" t="s">
        <v>145</v>
      </c>
      <c r="L456" s="1"/>
      <c r="M456" s="1"/>
      <c r="N456" s="1"/>
      <c r="O456" s="64"/>
      <c r="P456" s="64" t="s">
        <v>146</v>
      </c>
      <c r="Q456" s="1"/>
      <c r="S456" s="3"/>
      <c r="T456" s="3"/>
      <c r="U456" s="3"/>
      <c r="V456" s="1"/>
      <c r="W456" s="63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</row>
    <row r="457" spans="1:41" s="62" customFormat="1" ht="12.75" customHeight="1" thickBot="1">
      <c r="A457" s="1"/>
      <c r="B457" s="66" t="s">
        <v>147</v>
      </c>
      <c r="C457" s="67"/>
      <c r="D457" s="68"/>
      <c r="E457" s="69"/>
      <c r="F457" s="69" t="s">
        <v>148</v>
      </c>
      <c r="G457" s="68"/>
      <c r="H457" s="67"/>
      <c r="I457" s="69"/>
      <c r="J457" s="69"/>
      <c r="K457" s="68" t="s">
        <v>151</v>
      </c>
      <c r="L457" s="68"/>
      <c r="M457" s="68"/>
      <c r="N457" s="68"/>
      <c r="O457" s="69"/>
      <c r="P457" s="69" t="s">
        <v>149</v>
      </c>
      <c r="Q457" s="68"/>
      <c r="R457" s="68"/>
      <c r="S457" s="68"/>
      <c r="T457" s="68"/>
      <c r="U457" s="68"/>
      <c r="V457" s="68"/>
      <c r="W457" s="70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</row>
    <row r="458" spans="1:41" s="62" customFormat="1" ht="12.75" customHeight="1">
      <c r="A458" s="1"/>
      <c r="B458" s="64" t="s">
        <v>150</v>
      </c>
      <c r="C458" s="71"/>
      <c r="F458" s="72"/>
      <c r="H458" s="1"/>
      <c r="I458" s="1"/>
      <c r="K458" s="1"/>
      <c r="L458" s="1"/>
      <c r="M458" s="1"/>
      <c r="O458" s="1"/>
      <c r="P458" s="1"/>
      <c r="Q458" s="1"/>
      <c r="R458" s="1"/>
      <c r="S458" s="1"/>
      <c r="T458" s="1"/>
      <c r="U458" s="1"/>
      <c r="V458" s="1"/>
      <c r="W458" s="6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</row>
    <row r="459" spans="2:18" ht="12.75" customHeight="1">
      <c r="B459" s="73"/>
      <c r="C459" s="74" t="s">
        <v>243</v>
      </c>
      <c r="D459" s="75"/>
      <c r="E459" s="76"/>
      <c r="F459" s="72"/>
      <c r="G459" s="77"/>
      <c r="Q459" s="1"/>
      <c r="R459" s="1"/>
    </row>
    <row r="460" spans="2:18" ht="12.75" customHeight="1">
      <c r="B460" s="73"/>
      <c r="C460" s="74"/>
      <c r="D460" s="75"/>
      <c r="E460" s="76"/>
      <c r="F460" s="72"/>
      <c r="G460" s="77"/>
      <c r="I460" s="153" t="s">
        <v>173</v>
      </c>
      <c r="J460" s="153"/>
      <c r="K460" s="153"/>
      <c r="L460" s="153"/>
      <c r="M460" s="153"/>
      <c r="Q460" s="1"/>
      <c r="R460" s="1"/>
    </row>
    <row r="461" spans="2:18" ht="12.75" customHeight="1" hidden="1">
      <c r="B461" s="78"/>
      <c r="C461" s="71"/>
      <c r="D461" s="79"/>
      <c r="E461" s="76"/>
      <c r="F461" s="72"/>
      <c r="G461" s="79"/>
      <c r="Q461" s="1"/>
      <c r="R461" s="1"/>
    </row>
    <row r="462" spans="2:18" ht="12.75" customHeight="1" hidden="1">
      <c r="B462" s="78"/>
      <c r="C462" s="71"/>
      <c r="D462" s="79"/>
      <c r="E462" s="76"/>
      <c r="F462" s="72"/>
      <c r="G462" s="79"/>
      <c r="Q462" s="1"/>
      <c r="R462" s="1"/>
    </row>
    <row r="463" spans="2:18" ht="12.75" customHeight="1" hidden="1">
      <c r="B463" s="78"/>
      <c r="C463" s="71"/>
      <c r="D463" s="79"/>
      <c r="E463" s="76"/>
      <c r="F463" s="72"/>
      <c r="G463" s="79"/>
      <c r="Q463" s="1"/>
      <c r="R463" s="1"/>
    </row>
    <row r="464" spans="2:18" ht="12.75" customHeight="1">
      <c r="B464" s="80"/>
      <c r="C464" s="2"/>
      <c r="D464" s="2"/>
      <c r="E464" s="2"/>
      <c r="F464" s="2"/>
      <c r="G464" s="2"/>
      <c r="I464" s="154" t="s">
        <v>163</v>
      </c>
      <c r="J464" s="155"/>
      <c r="K464" s="155"/>
      <c r="L464" s="155"/>
      <c r="M464" s="155"/>
      <c r="Q464" s="1"/>
      <c r="R464" s="1"/>
    </row>
    <row r="465" spans="9:18" ht="12.75" customHeight="1">
      <c r="I465" s="156"/>
      <c r="J465" s="156"/>
      <c r="K465" s="156"/>
      <c r="L465" s="156"/>
      <c r="M465" s="156"/>
      <c r="Q465" s="1"/>
      <c r="R465" s="1"/>
    </row>
    <row r="466" spans="17:18" ht="12.75" customHeight="1">
      <c r="Q466" s="1"/>
      <c r="R466" s="1"/>
    </row>
    <row r="467" spans="17:18" ht="12.75" customHeight="1">
      <c r="Q467" s="1"/>
      <c r="R467" s="1"/>
    </row>
    <row r="468" spans="17:18" ht="12.75" customHeight="1">
      <c r="Q468" s="1"/>
      <c r="R468" s="1"/>
    </row>
    <row r="469" spans="17:18" ht="12.75" customHeight="1">
      <c r="Q469" s="1"/>
      <c r="R469" s="1"/>
    </row>
    <row r="470" spans="17:18" ht="12.75" customHeight="1">
      <c r="Q470" s="1"/>
      <c r="R470" s="1"/>
    </row>
    <row r="471" spans="17:18" ht="12.75" customHeight="1">
      <c r="Q471" s="1"/>
      <c r="R471" s="1"/>
    </row>
    <row r="472" spans="17:18" ht="12.75" customHeight="1">
      <c r="Q472" s="1"/>
      <c r="R472" s="1"/>
    </row>
    <row r="473" spans="10:18" ht="12.75" customHeight="1">
      <c r="J473" s="87"/>
      <c r="Q473" s="1"/>
      <c r="R473" s="1"/>
    </row>
    <row r="474" spans="10:18" ht="12.75" customHeight="1">
      <c r="J474" s="88"/>
      <c r="Q474" s="1"/>
      <c r="R474" s="1"/>
    </row>
    <row r="475" spans="10:18" ht="12.75" customHeight="1">
      <c r="J475" s="88"/>
      <c r="Q475" s="1"/>
      <c r="R475" s="1"/>
    </row>
    <row r="476" spans="17:18" ht="12.75" customHeight="1">
      <c r="Q476" s="1"/>
      <c r="R476" s="1"/>
    </row>
    <row r="477" spans="17:18" ht="12.75" customHeight="1">
      <c r="Q477" s="1"/>
      <c r="R477" s="1"/>
    </row>
    <row r="478" spans="17:18" ht="12.75" customHeight="1">
      <c r="Q478" s="1"/>
      <c r="R478" s="1"/>
    </row>
    <row r="479" spans="17:18" ht="12.75" customHeight="1">
      <c r="Q479" s="1"/>
      <c r="R479" s="1"/>
    </row>
    <row r="480" spans="17:18" ht="12.75" customHeight="1">
      <c r="Q480" s="1"/>
      <c r="R480" s="1"/>
    </row>
    <row r="481" spans="17:18" ht="12.75" customHeight="1">
      <c r="Q481" s="1"/>
      <c r="R481" s="1"/>
    </row>
    <row r="482" spans="17:18" ht="12.75" customHeight="1">
      <c r="Q482" s="1"/>
      <c r="R482" s="1"/>
    </row>
    <row r="483" spans="17:18" ht="12.75" customHeight="1">
      <c r="Q483" s="1"/>
      <c r="R483" s="1"/>
    </row>
    <row r="484" spans="17:18" ht="12.75" customHeight="1">
      <c r="Q484" s="1"/>
      <c r="R484" s="1"/>
    </row>
    <row r="485" spans="17:18" ht="12.75" customHeight="1">
      <c r="Q485" s="1"/>
      <c r="R485" s="1"/>
    </row>
    <row r="486" spans="17:18" ht="12.75" customHeight="1">
      <c r="Q486" s="1"/>
      <c r="R486" s="1"/>
    </row>
    <row r="487" spans="17:18" ht="12.75" customHeight="1">
      <c r="Q487" s="1"/>
      <c r="R487" s="1"/>
    </row>
    <row r="488" spans="17:18" ht="12.75" customHeight="1">
      <c r="Q488" s="1"/>
      <c r="R488" s="1"/>
    </row>
    <row r="489" spans="17:18" ht="12.75" customHeight="1">
      <c r="Q489" s="1"/>
      <c r="R489" s="1"/>
    </row>
    <row r="490" spans="17:18" ht="12.75" customHeight="1">
      <c r="Q490" s="1"/>
      <c r="R490" s="1"/>
    </row>
    <row r="491" spans="17:18" ht="12.75" customHeight="1">
      <c r="Q491" s="1"/>
      <c r="R491" s="1"/>
    </row>
    <row r="492" spans="17:18" ht="12.75" customHeight="1">
      <c r="Q492" s="1"/>
      <c r="R492" s="1"/>
    </row>
    <row r="493" spans="17:18" ht="12.75" customHeight="1">
      <c r="Q493" s="1"/>
      <c r="R493" s="1"/>
    </row>
    <row r="494" spans="17:18" ht="12.75" customHeight="1">
      <c r="Q494" s="1"/>
      <c r="R494" s="1"/>
    </row>
    <row r="495" spans="17:18" ht="12.75" customHeight="1">
      <c r="Q495" s="1"/>
      <c r="R495" s="1"/>
    </row>
    <row r="496" spans="17:18" ht="12.75" customHeight="1">
      <c r="Q496" s="1"/>
      <c r="R496" s="1"/>
    </row>
    <row r="497" spans="17:18" ht="12.75" customHeight="1">
      <c r="Q497" s="1"/>
      <c r="R497" s="1"/>
    </row>
    <row r="498" spans="17:18" ht="12.75" customHeight="1">
      <c r="Q498" s="1"/>
      <c r="R498" s="1"/>
    </row>
    <row r="499" spans="17:18" ht="12.75" customHeight="1">
      <c r="Q499" s="1"/>
      <c r="R499" s="1"/>
    </row>
    <row r="500" spans="17:18" ht="12.75" customHeight="1">
      <c r="Q500" s="1"/>
      <c r="R500" s="1"/>
    </row>
    <row r="501" spans="17:18" ht="12.75" customHeight="1">
      <c r="Q501" s="1"/>
      <c r="R501" s="1"/>
    </row>
    <row r="502" spans="17:18" ht="12.75" customHeight="1">
      <c r="Q502" s="1"/>
      <c r="R502" s="1"/>
    </row>
    <row r="503" spans="17:18" ht="12.75" customHeight="1">
      <c r="Q503" s="1"/>
      <c r="R503" s="1"/>
    </row>
    <row r="504" spans="17:18" ht="12.75" customHeight="1">
      <c r="Q504" s="1"/>
      <c r="R504" s="1"/>
    </row>
    <row r="505" spans="17:18" ht="12.75" customHeight="1">
      <c r="Q505" s="1"/>
      <c r="R505" s="1"/>
    </row>
    <row r="506" spans="17:18" ht="12.75" customHeight="1">
      <c r="Q506" s="1"/>
      <c r="R506" s="1"/>
    </row>
    <row r="507" spans="17:18" ht="12.75" customHeight="1">
      <c r="Q507" s="1"/>
      <c r="R507" s="1"/>
    </row>
    <row r="508" spans="17:18" ht="12.75" customHeight="1">
      <c r="Q508" s="1"/>
      <c r="R508" s="1"/>
    </row>
    <row r="509" spans="17:18" ht="12.75" customHeight="1">
      <c r="Q509" s="1"/>
      <c r="R509" s="1"/>
    </row>
    <row r="510" spans="17:18" ht="12.75" customHeight="1">
      <c r="Q510" s="1"/>
      <c r="R510" s="1"/>
    </row>
    <row r="511" spans="17:18" ht="12.75" customHeight="1">
      <c r="Q511" s="1"/>
      <c r="R511" s="1"/>
    </row>
    <row r="512" spans="17:18" ht="12.75" customHeight="1">
      <c r="Q512" s="1"/>
      <c r="R512" s="1"/>
    </row>
    <row r="513" spans="17:18" ht="12.75" customHeight="1">
      <c r="Q513" s="1"/>
      <c r="R513" s="1"/>
    </row>
    <row r="514" spans="17:18" ht="12.75" customHeight="1">
      <c r="Q514" s="1"/>
      <c r="R514" s="1"/>
    </row>
    <row r="515" spans="17:18" ht="12.75" customHeight="1">
      <c r="Q515" s="1"/>
      <c r="R515" s="1"/>
    </row>
    <row r="516" spans="17:18" ht="12.75" customHeight="1">
      <c r="Q516" s="1"/>
      <c r="R516" s="1"/>
    </row>
    <row r="517" spans="17:18" ht="12.75" customHeight="1">
      <c r="Q517" s="1"/>
      <c r="R517" s="1"/>
    </row>
    <row r="518" spans="17:18" ht="12.75" customHeight="1">
      <c r="Q518" s="1"/>
      <c r="R518" s="1"/>
    </row>
    <row r="519" spans="17:18" ht="12.75" customHeight="1">
      <c r="Q519" s="1"/>
      <c r="R519" s="1"/>
    </row>
    <row r="520" spans="17:18" ht="12.75" customHeight="1">
      <c r="Q520" s="1"/>
      <c r="R520" s="1"/>
    </row>
    <row r="521" spans="17:18" ht="12.75" customHeight="1">
      <c r="Q521" s="1"/>
      <c r="R521" s="1"/>
    </row>
    <row r="522" spans="17:18" ht="12.75" customHeight="1">
      <c r="Q522" s="1"/>
      <c r="R522" s="1"/>
    </row>
    <row r="523" spans="17:18" ht="12.75" customHeight="1">
      <c r="Q523" s="1"/>
      <c r="R523" s="1"/>
    </row>
    <row r="524" spans="17:18" ht="12.75" customHeight="1">
      <c r="Q524" s="1"/>
      <c r="R524" s="1"/>
    </row>
    <row r="525" spans="17:18" ht="12.75" customHeight="1">
      <c r="Q525" s="1"/>
      <c r="R525" s="1"/>
    </row>
    <row r="526" spans="17:18" ht="12.75" customHeight="1">
      <c r="Q526" s="1"/>
      <c r="R526" s="1"/>
    </row>
    <row r="527" spans="17:18" ht="12.75" customHeight="1">
      <c r="Q527" s="1"/>
      <c r="R527" s="1"/>
    </row>
    <row r="528" spans="17:18" ht="12.75" customHeight="1">
      <c r="Q528" s="1"/>
      <c r="R528" s="1"/>
    </row>
    <row r="529" spans="17:18" ht="12.75" customHeight="1">
      <c r="Q529" s="1"/>
      <c r="R529" s="1"/>
    </row>
    <row r="530" spans="17:18" ht="12.75" customHeight="1">
      <c r="Q530" s="1"/>
      <c r="R530" s="1"/>
    </row>
    <row r="531" spans="17:18" ht="12.75" customHeight="1">
      <c r="Q531" s="1"/>
      <c r="R531" s="1"/>
    </row>
    <row r="532" spans="17:18" ht="12.75" customHeight="1">
      <c r="Q532" s="1"/>
      <c r="R532" s="1"/>
    </row>
    <row r="533" spans="17:18" ht="12.75" customHeight="1">
      <c r="Q533" s="1"/>
      <c r="R533" s="1"/>
    </row>
    <row r="534" spans="17:18" ht="12.75" customHeight="1">
      <c r="Q534" s="1"/>
      <c r="R534" s="1"/>
    </row>
    <row r="535" spans="17:18" ht="12.75" customHeight="1">
      <c r="Q535" s="1"/>
      <c r="R535" s="1"/>
    </row>
    <row r="536" spans="17:18" ht="12.75" customHeight="1">
      <c r="Q536" s="1"/>
      <c r="R536" s="1"/>
    </row>
    <row r="537" spans="17:18" ht="12.75" customHeight="1">
      <c r="Q537" s="1"/>
      <c r="R537" s="1"/>
    </row>
    <row r="538" spans="17:18" ht="12.75" customHeight="1">
      <c r="Q538" s="1"/>
      <c r="R538" s="1"/>
    </row>
    <row r="539" spans="17:18" ht="12.75" customHeight="1">
      <c r="Q539" s="1"/>
      <c r="R539" s="1"/>
    </row>
    <row r="540" spans="17:18" ht="12.75" customHeight="1">
      <c r="Q540" s="1"/>
      <c r="R540" s="1"/>
    </row>
    <row r="541" spans="17:18" ht="12.75" customHeight="1">
      <c r="Q541" s="1"/>
      <c r="R541" s="1"/>
    </row>
    <row r="542" spans="17:18" ht="12.75" customHeight="1">
      <c r="Q542" s="1"/>
      <c r="R542" s="1"/>
    </row>
    <row r="543" spans="17:18" ht="12.75" customHeight="1">
      <c r="Q543" s="1"/>
      <c r="R543" s="1"/>
    </row>
    <row r="544" spans="17:18" ht="12.75" customHeight="1">
      <c r="Q544" s="1"/>
      <c r="R544" s="1"/>
    </row>
    <row r="545" spans="17:18" ht="12.75" customHeight="1">
      <c r="Q545" s="1"/>
      <c r="R545" s="1"/>
    </row>
    <row r="546" spans="17:18" ht="12.75" customHeight="1">
      <c r="Q546" s="1"/>
      <c r="R546" s="1"/>
    </row>
    <row r="547" spans="17:18" ht="12.75" customHeight="1">
      <c r="Q547" s="1"/>
      <c r="R547" s="1"/>
    </row>
    <row r="548" spans="17:18" ht="12.75" customHeight="1">
      <c r="Q548" s="1"/>
      <c r="R548" s="1"/>
    </row>
    <row r="549" spans="17:18" ht="12.75" customHeight="1">
      <c r="Q549" s="1"/>
      <c r="R549" s="1"/>
    </row>
  </sheetData>
  <sheetProtection selectLockedCells="1" selectUnlockedCells="1"/>
  <mergeCells count="137">
    <mergeCell ref="B437:B439"/>
    <mergeCell ref="B5:B9"/>
    <mergeCell ref="I460:M460"/>
    <mergeCell ref="I464:M465"/>
    <mergeCell ref="B430:B433"/>
    <mergeCell ref="B434:B436"/>
    <mergeCell ref="B440:B443"/>
    <mergeCell ref="B444:B446"/>
    <mergeCell ref="B424:B426"/>
    <mergeCell ref="B427:B429"/>
    <mergeCell ref="B414:B416"/>
    <mergeCell ref="B417:B419"/>
    <mergeCell ref="B420:B423"/>
    <mergeCell ref="B297:B304"/>
    <mergeCell ref="B395:B397"/>
    <mergeCell ref="B398:B400"/>
    <mergeCell ref="B405:B407"/>
    <mergeCell ref="B408:B410"/>
    <mergeCell ref="B401:B404"/>
    <mergeCell ref="B372:B377"/>
    <mergeCell ref="B378:B380"/>
    <mergeCell ref="B381:B383"/>
    <mergeCell ref="B388:B394"/>
    <mergeCell ref="B384:B387"/>
    <mergeCell ref="B359:B362"/>
    <mergeCell ref="B363:B365"/>
    <mergeCell ref="B366:B368"/>
    <mergeCell ref="B369:B371"/>
    <mergeCell ref="B346:B349"/>
    <mergeCell ref="B350:B352"/>
    <mergeCell ref="B353:B355"/>
    <mergeCell ref="B356:B358"/>
    <mergeCell ref="B331:B333"/>
    <mergeCell ref="B334:B336"/>
    <mergeCell ref="B337:B339"/>
    <mergeCell ref="B343:B345"/>
    <mergeCell ref="B340:B342"/>
    <mergeCell ref="B318:B320"/>
    <mergeCell ref="B321:B323"/>
    <mergeCell ref="B324:B326"/>
    <mergeCell ref="B327:B330"/>
    <mergeCell ref="B305:B308"/>
    <mergeCell ref="B309:B311"/>
    <mergeCell ref="B312:B314"/>
    <mergeCell ref="B315:B317"/>
    <mergeCell ref="B285:B287"/>
    <mergeCell ref="B288:B290"/>
    <mergeCell ref="B291:B296"/>
    <mergeCell ref="B272:B275"/>
    <mergeCell ref="B276:B278"/>
    <mergeCell ref="B279:B281"/>
    <mergeCell ref="B282:B284"/>
    <mergeCell ref="B263:B265"/>
    <mergeCell ref="B266:B268"/>
    <mergeCell ref="B269:B271"/>
    <mergeCell ref="B243:B246"/>
    <mergeCell ref="B247:B249"/>
    <mergeCell ref="B253:B257"/>
    <mergeCell ref="B258:B262"/>
    <mergeCell ref="B250:B252"/>
    <mergeCell ref="B230:B232"/>
    <mergeCell ref="B233:B235"/>
    <mergeCell ref="B236:B238"/>
    <mergeCell ref="B239:B242"/>
    <mergeCell ref="B210:B212"/>
    <mergeCell ref="B213:B223"/>
    <mergeCell ref="B224:B226"/>
    <mergeCell ref="B227:B229"/>
    <mergeCell ref="B196:B198"/>
    <mergeCell ref="B199:B201"/>
    <mergeCell ref="B202:B204"/>
    <mergeCell ref="B205:B209"/>
    <mergeCell ref="B184:B186"/>
    <mergeCell ref="B187:B189"/>
    <mergeCell ref="B190:B192"/>
    <mergeCell ref="B193:B195"/>
    <mergeCell ref="B168:B170"/>
    <mergeCell ref="B171:B174"/>
    <mergeCell ref="B175:B177"/>
    <mergeCell ref="B181:B183"/>
    <mergeCell ref="B178:B180"/>
    <mergeCell ref="B151:B153"/>
    <mergeCell ref="B154:B156"/>
    <mergeCell ref="B160:B164"/>
    <mergeCell ref="B165:B167"/>
    <mergeCell ref="B157:B159"/>
    <mergeCell ref="B117:B126"/>
    <mergeCell ref="B138:B140"/>
    <mergeCell ref="B141:B150"/>
    <mergeCell ref="B132:B137"/>
    <mergeCell ref="B127:B131"/>
    <mergeCell ref="B103:B106"/>
    <mergeCell ref="B107:B110"/>
    <mergeCell ref="B111:B113"/>
    <mergeCell ref="B114:B116"/>
    <mergeCell ref="B94:B96"/>
    <mergeCell ref="B97:B99"/>
    <mergeCell ref="B100:B102"/>
    <mergeCell ref="B81:B83"/>
    <mergeCell ref="B84:B86"/>
    <mergeCell ref="B87:B90"/>
    <mergeCell ref="B91:B93"/>
    <mergeCell ref="B62:B66"/>
    <mergeCell ref="B67:B69"/>
    <mergeCell ref="B70:B77"/>
    <mergeCell ref="B78:B80"/>
    <mergeCell ref="B50:B52"/>
    <mergeCell ref="B53:B55"/>
    <mergeCell ref="B56:B58"/>
    <mergeCell ref="B59:B61"/>
    <mergeCell ref="B34:B37"/>
    <mergeCell ref="B38:B40"/>
    <mergeCell ref="B41:B43"/>
    <mergeCell ref="B44:B49"/>
    <mergeCell ref="B22:B24"/>
    <mergeCell ref="B25:B27"/>
    <mergeCell ref="B28:B30"/>
    <mergeCell ref="B31:B33"/>
    <mergeCell ref="B10:B12"/>
    <mergeCell ref="B13:B15"/>
    <mergeCell ref="B16:B18"/>
    <mergeCell ref="B19:B21"/>
    <mergeCell ref="U2:U4"/>
    <mergeCell ref="V2:W3"/>
    <mergeCell ref="F3:F4"/>
    <mergeCell ref="G3:H3"/>
    <mergeCell ref="I3:I4"/>
    <mergeCell ref="B411:B413"/>
    <mergeCell ref="B1:W1"/>
    <mergeCell ref="B2:B3"/>
    <mergeCell ref="C2:C4"/>
    <mergeCell ref="D2:E4"/>
    <mergeCell ref="F2:I2"/>
    <mergeCell ref="J2:P3"/>
    <mergeCell ref="Q2:R3"/>
    <mergeCell ref="S2:S4"/>
    <mergeCell ref="T2:T4"/>
  </mergeCells>
  <printOptions/>
  <pageMargins left="0.3597222222222222" right="0.19652777777777777" top="0.6402777777777777" bottom="0.7875" header="0.5118055555555555" footer="0.5118055555555555"/>
  <pageSetup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maria da conceição cavalcanti guedes alcoforado</cp:lastModifiedBy>
  <cp:lastPrinted>2013-12-17T16:47:35Z</cp:lastPrinted>
  <dcterms:created xsi:type="dcterms:W3CDTF">2010-01-28T12:41:07Z</dcterms:created>
  <dcterms:modified xsi:type="dcterms:W3CDTF">2013-12-17T16:53:17Z</dcterms:modified>
  <cp:category/>
  <cp:version/>
  <cp:contentType/>
  <cp:contentStatus/>
  <cp:revision>4</cp:revision>
</cp:coreProperties>
</file>