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9" activeTab="0"/>
  </bookViews>
  <sheets>
    <sheet name="setembro2013" sheetId="1" r:id="rId1"/>
  </sheets>
  <externalReferences>
    <externalReference r:id="rId4"/>
  </externalReferences>
  <definedNames>
    <definedName name="_xlnm.Print_Area" localSheetId="0">'setembro2013'!$B$2:$W$457</definedName>
    <definedName name="Excel_BuiltIn__FilterDatabase">'setembro2013'!$B$4:$W$448</definedName>
    <definedName name="_xlnm.Print_Titles" localSheetId="0">'setembro2013'!$1:$4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<sst xmlns="http://schemas.openxmlformats.org/spreadsheetml/2006/main" count="612" uniqueCount="252">
  <si>
    <t>JUÍZES</t>
  </si>
  <si>
    <t>ÓRGÃO JULGADOR</t>
  </si>
  <si>
    <t>SITUAÇÃO</t>
  </si>
  <si>
    <t>PROCESSOS RECEBIDOS</t>
  </si>
  <si>
    <t>DECISÕES PROFERIDAS</t>
  </si>
  <si>
    <t>SALDO REMANESCENTE</t>
  </si>
  <si>
    <t>DEV. P/.  CONCILIAR</t>
  </si>
  <si>
    <t>CONV. DILIG.</t>
  </si>
  <si>
    <t>AUD. PRESID.</t>
  </si>
  <si>
    <t>PRODUTIVIDADE</t>
  </si>
  <si>
    <t>NO MÊS</t>
  </si>
  <si>
    <t>SALDO DE PROC. A JULGAR</t>
  </si>
  <si>
    <t>TOTAL</t>
  </si>
  <si>
    <t>(ordem alfabética)</t>
  </si>
  <si>
    <t>NP</t>
  </si>
  <si>
    <t>FP</t>
  </si>
  <si>
    <t>DEC. C/ RES. MERITO</t>
  </si>
  <si>
    <t>DEC.S/ RES. MÉRITO</t>
  </si>
  <si>
    <t>ED</t>
  </si>
  <si>
    <t>EE</t>
  </si>
  <si>
    <t>ET</t>
  </si>
  <si>
    <t>ACORDO HOMOL.</t>
  </si>
  <si>
    <t>(%.)</t>
  </si>
  <si>
    <t>(%) s/ os conciliados</t>
  </si>
  <si>
    <t>ADRIANA SATOU LESSA FERREIRA PINHEIRO</t>
  </si>
  <si>
    <t>AGENOR MARTINS PEREIRA</t>
  </si>
  <si>
    <t>ALBERTO CARLOS DE MENDONÇA</t>
  </si>
  <si>
    <t>em exercício</t>
  </si>
  <si>
    <t>ALINE PIMENTEL GONÇALVES</t>
  </si>
  <si>
    <t>AMAURY DE OLIVEIRA XAVIER RAMOS FILHO</t>
  </si>
  <si>
    <t>F</t>
  </si>
  <si>
    <t>ANA CATARINA CISNEIROS BARBOSA DE ARAÚJO</t>
  </si>
  <si>
    <t>ANA CATARINA MAGALHÃES SÁ LEITÃO</t>
  </si>
  <si>
    <t>ANA CLÁUDIA PETRUCCELLI DE LIMA</t>
  </si>
  <si>
    <t>ANA CRISTINA ARGOLO DE BARROS</t>
  </si>
  <si>
    <t>ANA ISABEL GUERRA BARBOSA KOURY</t>
  </si>
  <si>
    <t>ANA MARIA APARECIDA DE FREITAS</t>
  </si>
  <si>
    <t>ANA MARIA SOARES RIBEIRO DE BARROS</t>
  </si>
  <si>
    <t>ANDRÉ LUIZ MACHADO</t>
  </si>
  <si>
    <t>ANDRÉA CLÁUDIA DE SOUZA</t>
  </si>
  <si>
    <t>ANDRÉA KEUST BANDEIRA DE MELO</t>
  </si>
  <si>
    <t>ANTÔNIO AUGUSTO SERRA SECA</t>
  </si>
  <si>
    <t>ANTÔNIO WANDERLEY MARTINS</t>
  </si>
  <si>
    <t>LM</t>
  </si>
  <si>
    <t>ARMANDO DA CUNHA RABELO NETO</t>
  </si>
  <si>
    <t xml:space="preserve">AURÉLIO DA SILVA </t>
  </si>
  <si>
    <t>BARTOLOMEU ALVES BEZERRA</t>
  </si>
  <si>
    <t>BERNARDO NUNES DA COSTA NETO</t>
  </si>
  <si>
    <t>CAMILA AUGUSTA CABRAL   VASCONCELOS</t>
  </si>
  <si>
    <t>CARLA JANAÍNA MOURA LACERDA</t>
  </si>
  <si>
    <t>CARLA SANTINA DE SOUZA RODRIGUES</t>
  </si>
  <si>
    <t>CARMEM LÚCIA VIEIRA DO NASCIMENTO</t>
  </si>
  <si>
    <t>CÁSSIA BARATA DE MORAES SANTOS ARTEIRO</t>
  </si>
  <si>
    <t>CELIVALDO VAREJÃO FERREIRA DE ALCANTÂRA</t>
  </si>
  <si>
    <t>CLAUDIA CHRISTINA SANTOS R. DE LIMA</t>
  </si>
  <si>
    <t>CRISTINA FIGUEIRA CALLOU DA C. GONÇALVES</t>
  </si>
  <si>
    <t>DAISY ANDERSON TENÓRIO</t>
  </si>
  <si>
    <t>DANIELLE LIRA PIMENTEL ACIOLI</t>
  </si>
  <si>
    <t>DANILO CAVALCANTI DE OLIVEIRA</t>
  </si>
  <si>
    <t>EDMILSON ALVES DA SILVA</t>
  </si>
  <si>
    <t>EDSON LUIS BRYK</t>
  </si>
  <si>
    <t>EDUARDO HENRIQUE BRENNAND D. CÂMARA</t>
  </si>
  <si>
    <t>ESTER DE SOUZA ARAÚJO FURTADO</t>
  </si>
  <si>
    <t>EVELLYNE FERRAZ CORREIA FARIAS</t>
  </si>
  <si>
    <t>FÁBIO JOSÉ RIBEIRO DANTAS FURTADO</t>
  </si>
  <si>
    <t>FERNANDO CABRAL DE ANDRADE FILHO</t>
  </si>
  <si>
    <t>GENISON CIRILO CABRAL</t>
  </si>
  <si>
    <t>GEORGE SIDNEY NEIVA COELHO</t>
  </si>
  <si>
    <t>GILVANILDO DE ARAÚJO LIMA</t>
  </si>
  <si>
    <t>GUILHERME DE MORAIS MENDONÇA</t>
  </si>
  <si>
    <t>GUSTAVO AUGUSTO PIRES DE OLIVEIRA</t>
  </si>
  <si>
    <t>GUSTAVO HENRIQUE CISNEIROS BARBOSA</t>
  </si>
  <si>
    <t>HÉLIO LUIZ FERNANDES GALVÃO</t>
  </si>
  <si>
    <t>IBRAHIM ALVES DA SILVA FILHO</t>
  </si>
  <si>
    <t>ILKA ELIANE DE SOUZA TAVARES</t>
  </si>
  <si>
    <t>JOAQUIM EMILIANO FORTALEZA DE LIMA</t>
  </si>
  <si>
    <t>JOSÉ ADELMY DA SILVA ACIOLI</t>
  </si>
  <si>
    <t>JOSÉ AUGUSTO SEGUNDO NETO</t>
  </si>
  <si>
    <t>JOSÉ LUCIANO ALEXO DA SILVA</t>
  </si>
  <si>
    <t>JOSÉ WILSON DA FONSECA</t>
  </si>
  <si>
    <t>JOSIMAR MENDES DA SILVA OLIVEIRA</t>
  </si>
  <si>
    <t>JUDITE GALINDO SAMPAIO CURCHATUZ</t>
  </si>
  <si>
    <t>JULIANA  LYRA  BARBOSA</t>
  </si>
  <si>
    <t>KATIA KEITIANE DA ROCHA PORTER</t>
  </si>
  <si>
    <t>LARRY DA SILVA OLIVEIRA FILHO</t>
  </si>
  <si>
    <t>LAURA CAVALCANTI DE MORAIS BOTELHO</t>
  </si>
  <si>
    <t>LILIANE MENDONÇA DE MORAES SOUZA</t>
  </si>
  <si>
    <t>LUCAS DE ARAÚJO CAVALCANTI</t>
  </si>
  <si>
    <t>LUCIANA PAULA CONFORTI</t>
  </si>
  <si>
    <t>MARCELO DA VEIGA PESSOA BACALLÁ</t>
  </si>
  <si>
    <t>MARCIA DE WINDSOR NOGUEIRA</t>
  </si>
  <si>
    <t>MARCÍLIO FLORÊNCIO MOTA</t>
  </si>
  <si>
    <t>MARIA CONSOLATA RÊGO BATISTA</t>
  </si>
  <si>
    <t>MARIA DAS GRAÇAS DE ARRUDA FRANÇA</t>
  </si>
  <si>
    <t>MARIA DE BETÂNIA SILVEIRA VILELA</t>
  </si>
  <si>
    <t>MARIA DO CARMO VAREJÃO RICHLIN</t>
  </si>
  <si>
    <t>MARIA JOSÉ DE SOUZA</t>
  </si>
  <si>
    <t>MARILIA GABRIELA MENDES LEITE DE ANDRADE</t>
  </si>
  <si>
    <t>MARTA DE FÁTIMA LEAL CHAVES</t>
  </si>
  <si>
    <t>MARTHA CRISTINA DO NASCIMENTO CANTALICE</t>
  </si>
  <si>
    <t xml:space="preserve">MATHEUS RIBEIRO REZENDE </t>
  </si>
  <si>
    <t>MAYARD DE FRANÇA SABOYA ALBUQUERQUE</t>
  </si>
  <si>
    <t>MAYSA COSTA DE CARVALHO ALVES</t>
  </si>
  <si>
    <t>MILTON GOUVEIA DA SILVA FILHO</t>
  </si>
  <si>
    <t>MIRIAM SOUTO MAIOR DE MORAIS</t>
  </si>
  <si>
    <t>NECY LAPENDA PESSOA DE A. AZEVEDO</t>
  </si>
  <si>
    <t>PATRÍCIA COELHO BRANDÃO VIEIRA</t>
  </si>
  <si>
    <t>PATRICIA PEDROSA SOUTO MAIOR</t>
  </si>
  <si>
    <t>PAULA REGINA DE QUEIROZ M. G. MUNIZ</t>
  </si>
  <si>
    <t>PAULO DIAS DE ALCÂNTARA</t>
  </si>
  <si>
    <t>PLAUDENICE ABREU DE ARAÚJO B. VIEIRA</t>
  </si>
  <si>
    <t>RAFAEL VAL NOGUEIRA</t>
  </si>
  <si>
    <t xml:space="preserve">REGINA MAURA MACIEL LEMOS </t>
  </si>
  <si>
    <t>RENATA CONCEIÇÃO NÓBREGA SANTOS</t>
  </si>
  <si>
    <t>RENATA LAPENDA RODRIGUES DE MELO</t>
  </si>
  <si>
    <t>RENATA LIMA RODRIGUES</t>
  </si>
  <si>
    <t>ROBERTA CORRÊA DE ARAÚJO MONTEIRO</t>
  </si>
  <si>
    <t>ROBERTA VANCE HARROP</t>
  </si>
  <si>
    <t>ROBERTO DE FREIRE BASTOS</t>
  </si>
  <si>
    <t>ROBSON TAVARES DUTRA</t>
  </si>
  <si>
    <t>RODRIGO SAMICO CARNEIRO</t>
  </si>
  <si>
    <t>ROGÉRIO FREYRE COSTA</t>
  </si>
  <si>
    <t>ROSA MELO MACHADO RODRIGUES FARIA</t>
  </si>
  <si>
    <t>SAULO BOSCO SOUZA DE MEDEIROS</t>
  </si>
  <si>
    <t>SÉRGIO MURILO DE CARVALHO LINS</t>
  </si>
  <si>
    <t>SÉRGIO VAISMAN</t>
  </si>
  <si>
    <t>SOHAD MARIA DUTRA CAHÚ</t>
  </si>
  <si>
    <t xml:space="preserve">SOLANGE MOURA DE ANDRADE </t>
  </si>
  <si>
    <t>TÂNIA REGINA CHENK ALLATTA</t>
  </si>
  <si>
    <t>VIRGÍNIA LÚCIA DE SÁ BAHIA</t>
  </si>
  <si>
    <t>VIRGÍNIO HENRIQUES DE SÁ BENEVIDES</t>
  </si>
  <si>
    <t>WALKÍRIA MIRIAM PINTO DE CARVALHO</t>
  </si>
  <si>
    <t>WALMAR SOARES CHAVES</t>
  </si>
  <si>
    <t>AF- AFASTAMENTO PARA CURSO/CONGRESSO</t>
  </si>
  <si>
    <t>LC- LICENÇA-CASAMENTO</t>
  </si>
  <si>
    <t>ME -MANDATO ELETIVO</t>
  </si>
  <si>
    <t>NP - NO PRAZO</t>
  </si>
  <si>
    <t>AUX - AUXILIAR DA PRESIDÊNCIA/CORREGEDORIA</t>
  </si>
  <si>
    <t>LG -  LICENÇA-GESTANTE</t>
  </si>
  <si>
    <t>RNE  -  RELATÓRIO NÃO ENVIADO</t>
  </si>
  <si>
    <t>FP - FORA DO PRAZO</t>
  </si>
  <si>
    <t>APO - APOSENTADORIA</t>
  </si>
  <si>
    <t>LM -  LICENÇA-MÉDICA</t>
  </si>
  <si>
    <t>OUT -  OUTROS</t>
  </si>
  <si>
    <t>ED - EMBARGOS DECLARATÓRIOS</t>
  </si>
  <si>
    <t>LP  -  LICENÇA-PRÊMIO</t>
  </si>
  <si>
    <t>OUV. - OUVIDOR</t>
  </si>
  <si>
    <t>EE - EMBARGOS À EXECUÇÃO</t>
  </si>
  <si>
    <t>LACF -LICENÇA ACOMP.FAMILIAR</t>
  </si>
  <si>
    <t>LPAT - LICENÇA-PATERNIDADE</t>
  </si>
  <si>
    <t>ET- EMBARGOS DE TERCEIRO</t>
  </si>
  <si>
    <t>VISTO, PUBLIQUE-SE.</t>
  </si>
  <si>
    <t xml:space="preserve">             C - CONVOCADO</t>
  </si>
  <si>
    <t xml:space="preserve">F - FÉRIAS </t>
  </si>
  <si>
    <t>Comp - COMPENSAÇÃO</t>
  </si>
  <si>
    <t xml:space="preserve">SITUAÇÃO </t>
  </si>
  <si>
    <t xml:space="preserve"> </t>
  </si>
  <si>
    <t>EDGAR GURJÃO WANDERLEY NETO</t>
  </si>
  <si>
    <t xml:space="preserve">SITUAÇÃO  </t>
  </si>
  <si>
    <t>LUTO- Ausência Falecim. Parente</t>
  </si>
  <si>
    <t xml:space="preserve">AUX </t>
  </si>
  <si>
    <t>ME</t>
  </si>
  <si>
    <t>KATHARINA VILA NOVA DE CARVALHO OLIVEIRA E SILVA</t>
  </si>
  <si>
    <t>5ª VT Jaboatão</t>
  </si>
  <si>
    <t>LTRA- Licença p/ Trânsito</t>
  </si>
  <si>
    <t>Desembargadora Corregedora
   do TRT 6a. Região</t>
  </si>
  <si>
    <t xml:space="preserve">ANA CRISTINA DA SILVA </t>
  </si>
  <si>
    <t>ADALBERTO ELLERY BARREIRA NETO</t>
  </si>
  <si>
    <t>MARIANA DE CARVALHO MILET</t>
  </si>
  <si>
    <t>OUT/12 a SET/14                           (desde 04.10.12)</t>
  </si>
  <si>
    <t>2ª VT Igarassu</t>
  </si>
  <si>
    <t>LEVI PEREIRA DE OLIVEIRA</t>
  </si>
  <si>
    <t>2ª VT Ribeirão</t>
  </si>
  <si>
    <t>3ª VT Petrolina</t>
  </si>
  <si>
    <t>VANESSA ZACCHÊ DE SÁ</t>
  </si>
  <si>
    <t>Virgínia Malta Canavarro</t>
  </si>
  <si>
    <t>GERMANA CAMAROTTI TAVARES</t>
  </si>
  <si>
    <t>2ª VT Palmares</t>
  </si>
  <si>
    <t>SARAH YOLANDA ALVES DE SOUZA</t>
  </si>
  <si>
    <t>FEV/13 A JAN/15</t>
  </si>
  <si>
    <t>RODRIGO ANDERSON FERREIRA OLIVEIRA</t>
  </si>
  <si>
    <t>PAULA GOUVÊA XAVIER</t>
  </si>
  <si>
    <t xml:space="preserve">SITUAÇÃO   </t>
  </si>
  <si>
    <t>AUX</t>
  </si>
  <si>
    <t>MAI/13 A JAN/15</t>
  </si>
  <si>
    <t>3ª VT Ipojuca</t>
  </si>
  <si>
    <t xml:space="preserve">OUV </t>
  </si>
  <si>
    <t xml:space="preserve">FEV/13 a JAN/15 </t>
  </si>
  <si>
    <t>EVANDRO EULER DIAS</t>
  </si>
  <si>
    <t>SÉRGIO PAULO ANDRADE LIMA</t>
  </si>
  <si>
    <t>HUGO CAVALCANTI MELO FILHO</t>
  </si>
  <si>
    <t>LG</t>
  </si>
  <si>
    <t>04.06 A 30.11.13</t>
  </si>
  <si>
    <t>07.08 a 05.09.13</t>
  </si>
  <si>
    <t>19.08 a 17.09.13</t>
  </si>
  <si>
    <t>27.08 a 25.09.13</t>
  </si>
  <si>
    <t>05.08 a 03.09.13</t>
  </si>
  <si>
    <t>08.08 a 06.09.13</t>
  </si>
  <si>
    <t>29.08 a 27.09.13</t>
  </si>
  <si>
    <t>AF</t>
  </si>
  <si>
    <t>15.07 a 12.09.13</t>
  </si>
  <si>
    <t>26.08 a 24.09.13</t>
  </si>
  <si>
    <t>LACF</t>
  </si>
  <si>
    <t xml:space="preserve">(*)No período de 30.08 a 02.09 a Vara de Serra Talhada esteve fechada para realizção de serviços e troca de mobiliário (O.S. TRT-GP 435/13).  </t>
  </si>
  <si>
    <t>PRODUTIVIDADE DOS JUÍZES DE 1ª INSTÂNCIA DO TRT DA 6ª REGIÃO - SETEMBRO/2013</t>
  </si>
  <si>
    <t xml:space="preserve">(*)No período de 30.09 a 07.10 as 1ª à 11ª Varas do Recife estiveram fechadas para implantação do PJe (O.S. TRT-GP 471/13).  </t>
  </si>
  <si>
    <t xml:space="preserve">(*)No dia de 30.09 a Vara de Escada esteve fechada para implantação do PJe (O.S. TRT-GP 538/13).  </t>
  </si>
  <si>
    <t xml:space="preserve">(*)No dia de 30.09 a 1ª Vara de Igarassu esteve fechada para realização de serviços na Secretaria. (O.S. TRT-GP 541/13).  </t>
  </si>
  <si>
    <t>02.09 a 01.10.13</t>
  </si>
  <si>
    <t>5, 9 a13 ,23 e 27/9 a 03/10</t>
  </si>
  <si>
    <t>09.09 a 22.09.13</t>
  </si>
  <si>
    <t>31.7.12 a 29.12.13</t>
  </si>
  <si>
    <t>17 e 19.09.13</t>
  </si>
  <si>
    <t>10.09 a 09.10.13</t>
  </si>
  <si>
    <t>16.09 a 15.10.13</t>
  </si>
  <si>
    <t>04.09 a 03.10.13</t>
  </si>
  <si>
    <t>12.09 a 11.10.13</t>
  </si>
  <si>
    <t xml:space="preserve">SITUAÇÃO * </t>
  </si>
  <si>
    <t>19.09 a 18.10.13</t>
  </si>
  <si>
    <t>04.09.13</t>
  </si>
  <si>
    <t>02.09.13</t>
  </si>
  <si>
    <t>24.09 a 03.10.13</t>
  </si>
  <si>
    <t>01.09 a 30.09.13</t>
  </si>
  <si>
    <t>02.09 a 06.09.13    17.09 a 01.10.13</t>
  </si>
  <si>
    <t>19.09 a 20.09.13</t>
  </si>
  <si>
    <t>30.09 a 11.10.13</t>
  </si>
  <si>
    <t>C</t>
  </si>
  <si>
    <t>30.09 a 26.11.13</t>
  </si>
  <si>
    <t>02.09 a 10.10.13</t>
  </si>
  <si>
    <t>LM                                                   Comp</t>
  </si>
  <si>
    <t>14.08 a 02.09.13   17 a19 e 24 a26.09</t>
  </si>
  <si>
    <t>Comp                                                   LM</t>
  </si>
  <si>
    <t>02.09 a 03.09.13    9 a 13 e 24/9 a 3/10</t>
  </si>
  <si>
    <t>23.09 a 25.09.13</t>
  </si>
  <si>
    <t>13.08 a 11.09.13</t>
  </si>
  <si>
    <t>26.09 e 27.09.13</t>
  </si>
  <si>
    <t>Comp                                               AF</t>
  </si>
  <si>
    <t>5 e 6 e 9 a 13.9  26.09 e 27.09.13</t>
  </si>
  <si>
    <t>02.09 a 11.09.13</t>
  </si>
  <si>
    <t>09.09 a 07.11.13</t>
  </si>
  <si>
    <t>13.09 a 15.09.13</t>
  </si>
  <si>
    <t>09.09 a 08.10.13</t>
  </si>
  <si>
    <t>03.09 a 02.10.13</t>
  </si>
  <si>
    <t xml:space="preserve">(*)Os 08 (oito) processos que estavam na produtividade da juíza Renata Lapenda Rodrigues de Melo, referentes à 1ª VT de Palmares, eram processos atigidos pelas enchentes de junho/2010, os quais estavam </t>
  </si>
  <si>
    <t xml:space="preserve">sendo restaurados. Só nesse mês de setembro/2013 é que foram solucionados; sendo que, 06 foram julgados pela juíza Ana Mª Soares R. de Barros, e 02 voltaram para pauta, para continuidade.   </t>
  </si>
  <si>
    <t>15.08 a 13.09.13</t>
  </si>
  <si>
    <t>F                                                           LM</t>
  </si>
  <si>
    <t>05.08 a 03.09.13     28.09 a 12.10.13</t>
  </si>
  <si>
    <t xml:space="preserve">(*)Retificada a produtividade do juiz Antonio Augusto Serra Seca Neto, referente ao mês de agosto/13, em relação à 2ª VT Olinda, para constar como saldos de  "8" no prazo e "4" fora do prazo;  </t>
  </si>
  <si>
    <t xml:space="preserve">(*)Retificada a produtividade da juíza Evellyne Ferraz Correia de Farias, referente ao mês de agosto/13, em relação à VT Catende, para constar como saldos de  "14" no prazo e "5" fora do prazo;  </t>
  </si>
  <si>
    <t xml:space="preserve">(*)Retificada a produtividade do juiz Joaquim Emiliano Fortaleza de Lima, referente ao mês de agosto/13, em relação à 2ª VT Olinda, para constar como saldos de  "1" no prazo e "0" fora do prazo;  </t>
  </si>
  <si>
    <t>Recife, 21 de outubro 2013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</si>
</sst>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mm/yy"/>
    <numFmt numFmtId="165" formatCode="dd&quot;  de  &quot;mmmm&quot;  de  &quot;yyyy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[$€-2]\ #,##0.00_);[Red]\([$€-2]\ #,##0.00\)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" fontId="18" fillId="0" borderId="0" xfId="0" applyNumberFormat="1" applyFont="1" applyFill="1" applyBorder="1" applyAlignment="1" applyProtection="1">
      <alignment horizontal="left"/>
      <protection/>
    </xf>
    <xf numFmtId="0" fontId="18" fillId="24" borderId="0" xfId="0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1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10" fontId="20" fillId="0" borderId="12" xfId="0" applyNumberFormat="1" applyFont="1" applyFill="1" applyBorder="1" applyAlignment="1" applyProtection="1">
      <alignment horizontal="center" vertical="center" wrapText="1"/>
      <protection/>
    </xf>
    <xf numFmtId="10" fontId="20" fillId="25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0" fillId="25" borderId="13" xfId="0" applyFont="1" applyFill="1" applyBorder="1" applyAlignment="1">
      <alignment vertical="center"/>
    </xf>
    <xf numFmtId="0" fontId="18" fillId="25" borderId="11" xfId="0" applyFont="1" applyFill="1" applyBorder="1" applyAlignment="1" applyProtection="1">
      <alignment horizontal="center" vertical="center"/>
      <protection locked="0"/>
    </xf>
    <xf numFmtId="1" fontId="18" fillId="25" borderId="11" xfId="0" applyNumberFormat="1" applyFont="1" applyFill="1" applyBorder="1" applyAlignment="1" applyProtection="1">
      <alignment horizontal="center" vertical="center" wrapText="1"/>
      <protection locked="0"/>
    </xf>
    <xf numFmtId="1" fontId="18" fillId="25" borderId="11" xfId="0" applyNumberFormat="1" applyFont="1" applyFill="1" applyBorder="1" applyAlignment="1" applyProtection="1">
      <alignment horizontal="center" vertical="center"/>
      <protection locked="0"/>
    </xf>
    <xf numFmtId="10" fontId="18" fillId="25" borderId="11" xfId="0" applyNumberFormat="1" applyFont="1" applyFill="1" applyBorder="1" applyAlignment="1" applyProtection="1">
      <alignment horizontal="center" vertical="center"/>
      <protection/>
    </xf>
    <xf numFmtId="10" fontId="18" fillId="0" borderId="0" xfId="49" applyNumberFormat="1" applyFont="1" applyFill="1" applyBorder="1" applyAlignment="1" applyProtection="1">
      <alignment/>
      <protection/>
    </xf>
    <xf numFmtId="0" fontId="20" fillId="25" borderId="13" xfId="0" applyFont="1" applyFill="1" applyBorder="1" applyAlignment="1">
      <alignment/>
    </xf>
    <xf numFmtId="0" fontId="20" fillId="25" borderId="11" xfId="0" applyFont="1" applyFill="1" applyBorder="1" applyAlignment="1" applyProtection="1">
      <alignment vertical="center"/>
      <protection locked="0"/>
    </xf>
    <xf numFmtId="0" fontId="18" fillId="25" borderId="14" xfId="0" applyFont="1" applyFill="1" applyBorder="1" applyAlignment="1" applyProtection="1">
      <alignment horizontal="center" vertical="center"/>
      <protection locked="0"/>
    </xf>
    <xf numFmtId="1" fontId="18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25" borderId="11" xfId="0" applyFont="1" applyFill="1" applyBorder="1" applyAlignment="1" applyProtection="1">
      <alignment horizontal="center" vertical="center"/>
      <protection locked="0"/>
    </xf>
    <xf numFmtId="1" fontId="20" fillId="25" borderId="15" xfId="0" applyNumberFormat="1" applyFont="1" applyFill="1" applyBorder="1" applyAlignment="1" applyProtection="1">
      <alignment horizontal="center" vertical="center"/>
      <protection locked="0"/>
    </xf>
    <xf numFmtId="10" fontId="20" fillId="25" borderId="11" xfId="0" applyNumberFormat="1" applyFont="1" applyFill="1" applyBorder="1" applyAlignment="1" applyProtection="1">
      <alignment horizontal="center" vertical="center"/>
      <protection/>
    </xf>
    <xf numFmtId="0" fontId="18" fillId="25" borderId="0" xfId="0" applyFont="1" applyFill="1" applyBorder="1" applyAlignment="1" applyProtection="1">
      <alignment vertical="center"/>
      <protection/>
    </xf>
    <xf numFmtId="9" fontId="0" fillId="25" borderId="0" xfId="49" applyFill="1" applyBorder="1" applyAlignment="1" applyProtection="1">
      <alignment vertical="center"/>
      <protection/>
    </xf>
    <xf numFmtId="0" fontId="18" fillId="25" borderId="11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vertical="center"/>
      <protection/>
    </xf>
    <xf numFmtId="9" fontId="0" fillId="0" borderId="0" xfId="49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25" borderId="10" xfId="0" applyFont="1" applyFill="1" applyBorder="1" applyAlignment="1" applyProtection="1">
      <alignment horizontal="center" vertical="center"/>
      <protection locked="0"/>
    </xf>
    <xf numFmtId="10" fontId="18" fillId="0" borderId="0" xfId="49" applyNumberFormat="1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 wrapText="1"/>
    </xf>
    <xf numFmtId="0" fontId="18" fillId="0" borderId="0" xfId="0" applyFont="1" applyFill="1" applyAlignment="1">
      <alignment horizontal="right"/>
    </xf>
    <xf numFmtId="10" fontId="18" fillId="0" borderId="0" xfId="49" applyNumberFormat="1" applyFont="1" applyFill="1" applyBorder="1" applyAlignment="1" applyProtection="1">
      <alignment horizontal="right"/>
      <protection/>
    </xf>
    <xf numFmtId="0" fontId="18" fillId="0" borderId="0" xfId="0" applyFont="1" applyFill="1" applyBorder="1" applyAlignment="1" applyProtection="1">
      <alignment horizontal="right" vertical="center"/>
      <protection/>
    </xf>
    <xf numFmtId="1" fontId="20" fillId="25" borderId="11" xfId="0" applyNumberFormat="1" applyFont="1" applyFill="1" applyBorder="1" applyAlignment="1" applyProtection="1">
      <alignment horizontal="center" vertical="center"/>
      <protection locked="0"/>
    </xf>
    <xf numFmtId="1" fontId="18" fillId="25" borderId="15" xfId="0" applyNumberFormat="1" applyFont="1" applyFill="1" applyBorder="1" applyAlignment="1" applyProtection="1">
      <alignment horizontal="center" vertical="center" wrapText="1"/>
      <protection locked="0"/>
    </xf>
    <xf numFmtId="0" fontId="18" fillId="25" borderId="12" xfId="0" applyFont="1" applyFill="1" applyBorder="1" applyAlignment="1" applyProtection="1">
      <alignment horizontal="center" vertical="center" wrapText="1"/>
      <protection locked="0"/>
    </xf>
    <xf numFmtId="0" fontId="18" fillId="25" borderId="12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10" fontId="18" fillId="0" borderId="0" xfId="49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1" fontId="20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vertical="center"/>
      <protection/>
    </xf>
    <xf numFmtId="10" fontId="20" fillId="0" borderId="0" xfId="49" applyNumberFormat="1" applyFont="1" applyFill="1" applyBorder="1" applyAlignment="1" applyProtection="1">
      <alignment vertical="center"/>
      <protection/>
    </xf>
    <xf numFmtId="0" fontId="20" fillId="25" borderId="10" xfId="0" applyFont="1" applyFill="1" applyBorder="1" applyAlignment="1" applyProtection="1">
      <alignment horizontal="center" vertical="center"/>
      <protection locked="0"/>
    </xf>
    <xf numFmtId="1" fontId="20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right" vertical="center"/>
      <protection/>
    </xf>
    <xf numFmtId="0" fontId="21" fillId="0" borderId="16" xfId="0" applyFont="1" applyFill="1" applyBorder="1" applyAlignment="1" applyProtection="1">
      <alignment horizontal="left"/>
      <protection/>
    </xf>
    <xf numFmtId="0" fontId="18" fillId="0" borderId="17" xfId="0" applyFont="1" applyFill="1" applyBorder="1" applyAlignment="1" applyProtection="1">
      <alignment/>
      <protection/>
    </xf>
    <xf numFmtId="0" fontId="18" fillId="0" borderId="17" xfId="0" applyFont="1" applyFill="1" applyBorder="1" applyAlignment="1" applyProtection="1">
      <alignment horizontal="center"/>
      <protection/>
    </xf>
    <xf numFmtId="1" fontId="18" fillId="0" borderId="17" xfId="0" applyNumberFormat="1" applyFont="1" applyFill="1" applyBorder="1" applyAlignment="1" applyProtection="1">
      <alignment horizontal="left"/>
      <protection/>
    </xf>
    <xf numFmtId="0" fontId="18" fillId="0" borderId="17" xfId="0" applyFont="1" applyFill="1" applyBorder="1" applyAlignment="1" applyProtection="1">
      <alignment/>
      <protection/>
    </xf>
    <xf numFmtId="0" fontId="18" fillId="0" borderId="17" xfId="0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18" fillId="0" borderId="19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19" xfId="0" applyFont="1" applyFill="1" applyBorder="1" applyAlignment="1" applyProtection="1">
      <alignment/>
      <protection/>
    </xf>
    <xf numFmtId="0" fontId="18" fillId="0" borderId="21" xfId="0" applyFont="1" applyFill="1" applyBorder="1" applyAlignment="1" applyProtection="1">
      <alignment/>
      <protection/>
    </xf>
    <xf numFmtId="0" fontId="18" fillId="0" borderId="22" xfId="0" applyFont="1" applyFill="1" applyBorder="1" applyAlignment="1" applyProtection="1">
      <alignment/>
      <protection/>
    </xf>
    <xf numFmtId="0" fontId="18" fillId="0" borderId="22" xfId="0" applyFont="1" applyFill="1" applyBorder="1" applyAlignment="1" applyProtection="1">
      <alignment horizontal="center"/>
      <protection/>
    </xf>
    <xf numFmtId="0" fontId="18" fillId="0" borderId="22" xfId="0" applyFont="1" applyFill="1" applyBorder="1" applyAlignment="1" applyProtection="1">
      <alignment horizontal="left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right"/>
      <protection/>
    </xf>
    <xf numFmtId="165" fontId="21" fillId="0" borderId="0" xfId="0" applyNumberFormat="1" applyFont="1" applyFill="1" applyAlignment="1">
      <alignment/>
    </xf>
    <xf numFmtId="0" fontId="21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right" wrapText="1"/>
      <protection/>
    </xf>
    <xf numFmtId="0" fontId="20" fillId="25" borderId="0" xfId="0" applyFont="1" applyFill="1" applyBorder="1" applyAlignment="1" applyProtection="1">
      <alignment vertical="center"/>
      <protection locked="0"/>
    </xf>
    <xf numFmtId="0" fontId="18" fillId="25" borderId="0" xfId="0" applyFont="1" applyFill="1" applyBorder="1" applyAlignment="1" applyProtection="1">
      <alignment horizontal="center" vertical="center"/>
      <protection locked="0"/>
    </xf>
    <xf numFmtId="1" fontId="18" fillId="25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Border="1" applyAlignment="1" applyProtection="1">
      <alignment horizontal="center" vertical="center"/>
      <protection locked="0"/>
    </xf>
    <xf numFmtId="1" fontId="20" fillId="25" borderId="0" xfId="0" applyNumberFormat="1" applyFont="1" applyFill="1" applyBorder="1" applyAlignment="1" applyProtection="1">
      <alignment horizontal="center" vertical="center"/>
      <protection locked="0"/>
    </xf>
    <xf numFmtId="10" fontId="20" fillId="25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11" xfId="0" applyFont="1" applyFill="1" applyBorder="1" applyAlignment="1">
      <alignment vertical="center"/>
    </xf>
    <xf numFmtId="0" fontId="18" fillId="0" borderId="15" xfId="0" applyFont="1" applyFill="1" applyBorder="1" applyAlignment="1" applyProtection="1">
      <alignment horizontal="center" vertical="center" wrapText="1"/>
      <protection locked="0"/>
    </xf>
    <xf numFmtId="1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1" fontId="18" fillId="0" borderId="11" xfId="0" applyNumberFormat="1" applyFont="1" applyFill="1" applyBorder="1" applyAlignment="1" applyProtection="1">
      <alignment horizontal="center" vertical="center"/>
      <protection locked="0"/>
    </xf>
    <xf numFmtId="10" fontId="18" fillId="0" borderId="11" xfId="0" applyNumberFormat="1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>
      <alignment/>
    </xf>
    <xf numFmtId="0" fontId="20" fillId="0" borderId="11" xfId="0" applyFont="1" applyFill="1" applyBorder="1" applyAlignment="1" applyProtection="1">
      <alignment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1" fontId="20" fillId="0" borderId="15" xfId="0" applyNumberFormat="1" applyFont="1" applyFill="1" applyBorder="1" applyAlignment="1" applyProtection="1">
      <alignment horizontal="center" vertical="center"/>
      <protection locked="0"/>
    </xf>
    <xf numFmtId="10" fontId="20" fillId="0" borderId="11" xfId="0" applyNumberFormat="1" applyFont="1" applyFill="1" applyBorder="1" applyAlignment="1" applyProtection="1">
      <alignment horizontal="center" vertical="center"/>
      <protection/>
    </xf>
    <xf numFmtId="0" fontId="18" fillId="25" borderId="10" xfId="0" applyFont="1" applyFill="1" applyBorder="1" applyAlignment="1" applyProtection="1">
      <alignment horizontal="center" vertical="center" wrapText="1"/>
      <protection locked="0"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0" fontId="19" fillId="26" borderId="0" xfId="0" applyFont="1" applyFill="1" applyAlignment="1">
      <alignment horizontal="left"/>
    </xf>
    <xf numFmtId="0" fontId="20" fillId="25" borderId="15" xfId="0" applyFont="1" applyFill="1" applyBorder="1" applyAlignment="1">
      <alignment vertical="center"/>
    </xf>
    <xf numFmtId="0" fontId="20" fillId="25" borderId="15" xfId="0" applyFont="1" applyFill="1" applyBorder="1" applyAlignment="1">
      <alignment/>
    </xf>
    <xf numFmtId="0" fontId="20" fillId="25" borderId="15" xfId="0" applyFont="1" applyFill="1" applyBorder="1" applyAlignment="1" applyProtection="1">
      <alignment vertical="center"/>
      <protection locked="0"/>
    </xf>
    <xf numFmtId="0" fontId="20" fillId="25" borderId="0" xfId="0" applyFont="1" applyFill="1" applyBorder="1" applyAlignment="1" applyProtection="1">
      <alignment horizontal="center" vertical="center" wrapText="1"/>
      <protection locked="0"/>
    </xf>
    <xf numFmtId="0" fontId="20" fillId="0" borderId="15" xfId="0" applyFont="1" applyFill="1" applyBorder="1" applyAlignment="1">
      <alignment vertical="center"/>
    </xf>
    <xf numFmtId="0" fontId="20" fillId="0" borderId="15" xfId="0" applyFont="1" applyFill="1" applyBorder="1" applyAlignment="1">
      <alignment/>
    </xf>
    <xf numFmtId="0" fontId="20" fillId="0" borderId="24" xfId="0" applyFont="1" applyFill="1" applyBorder="1" applyAlignment="1" applyProtection="1">
      <alignment vertical="center"/>
      <protection locked="0"/>
    </xf>
    <xf numFmtId="0" fontId="24" fillId="26" borderId="0" xfId="0" applyFont="1" applyFill="1" applyAlignment="1">
      <alignment horizontal="left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20" fillId="0" borderId="15" xfId="0" applyFont="1" applyFill="1" applyBorder="1" applyAlignment="1" applyProtection="1">
      <alignment vertical="center"/>
      <protection locked="0"/>
    </xf>
    <xf numFmtId="0" fontId="20" fillId="0" borderId="25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27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0" fillId="25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center" wrapText="1"/>
      <protection/>
    </xf>
    <xf numFmtId="10" fontId="20" fillId="0" borderId="10" xfId="0" applyNumberFormat="1" applyFont="1" applyFill="1" applyBorder="1" applyAlignment="1" applyProtection="1">
      <alignment horizontal="center" vertical="center" wrapText="1"/>
      <protection/>
    </xf>
    <xf numFmtId="10" fontId="20" fillId="0" borderId="11" xfId="0" applyNumberFormat="1" applyFont="1" applyFill="1" applyBorder="1" applyAlignment="1" applyProtection="1">
      <alignment horizontal="center" vertical="center" wrapText="1"/>
      <protection/>
    </xf>
    <xf numFmtId="10" fontId="20" fillId="0" borderId="15" xfId="0" applyNumberFormat="1" applyFont="1" applyFill="1" applyBorder="1" applyAlignment="1" applyProtection="1">
      <alignment horizontal="center" vertical="center"/>
      <protection/>
    </xf>
    <xf numFmtId="0" fontId="20" fillId="25" borderId="12" xfId="0" applyFont="1" applyFill="1" applyBorder="1" applyAlignment="1" applyProtection="1">
      <alignment horizontal="center" vertical="center" wrapText="1"/>
      <protection locked="0"/>
    </xf>
    <xf numFmtId="0" fontId="20" fillId="25" borderId="29" xfId="0" applyFont="1" applyFill="1" applyBorder="1" applyAlignment="1" applyProtection="1">
      <alignment horizontal="center" vertical="center" wrapText="1"/>
      <protection locked="0"/>
    </xf>
    <xf numFmtId="0" fontId="20" fillId="25" borderId="30" xfId="0" applyFont="1" applyFill="1" applyBorder="1" applyAlignment="1" applyProtection="1">
      <alignment horizontal="center" vertical="center" wrapText="1"/>
      <protection locked="0"/>
    </xf>
    <xf numFmtId="0" fontId="20" fillId="25" borderId="31" xfId="0" applyFont="1" applyFill="1" applyBorder="1" applyAlignment="1" applyProtection="1">
      <alignment horizontal="center" vertical="center" wrapText="1"/>
      <protection locked="0"/>
    </xf>
    <xf numFmtId="0" fontId="20" fillId="25" borderId="27" xfId="0" applyFont="1" applyFill="1" applyBorder="1" applyAlignment="1" applyProtection="1">
      <alignment horizontal="center" vertical="center" wrapText="1"/>
      <protection locked="0"/>
    </xf>
    <xf numFmtId="0" fontId="20" fillId="25" borderId="32" xfId="0" applyFont="1" applyFill="1" applyBorder="1" applyAlignment="1" applyProtection="1">
      <alignment horizontal="center" vertical="center" wrapText="1"/>
      <protection locked="0"/>
    </xf>
    <xf numFmtId="0" fontId="20" fillId="25" borderId="28" xfId="0" applyFont="1" applyFill="1" applyBorder="1" applyAlignment="1" applyProtection="1">
      <alignment horizontal="center" vertical="center" wrapText="1"/>
      <protection locked="0"/>
    </xf>
    <xf numFmtId="0" fontId="20" fillId="25" borderId="11" xfId="0" applyFont="1" applyFill="1" applyBorder="1" applyAlignment="1" applyProtection="1">
      <alignment horizontal="center" vertical="center" wrapText="1"/>
      <protection locked="0"/>
    </xf>
    <xf numFmtId="0" fontId="20" fillId="25" borderId="25" xfId="0" applyFont="1" applyFill="1" applyBorder="1" applyAlignment="1" applyProtection="1">
      <alignment horizontal="center" vertical="center" wrapText="1"/>
      <protection locked="0"/>
    </xf>
    <xf numFmtId="0" fontId="20" fillId="25" borderId="33" xfId="0" applyFont="1" applyFill="1" applyBorder="1" applyAlignment="1" applyProtection="1">
      <alignment horizontal="center" vertical="center" wrapText="1"/>
      <protection locked="0"/>
    </xf>
    <xf numFmtId="0" fontId="20" fillId="26" borderId="12" xfId="0" applyFont="1" applyFill="1" applyBorder="1" applyAlignment="1" applyProtection="1">
      <alignment horizontal="center" vertical="center" wrapText="1"/>
      <protection locked="0"/>
    </xf>
    <xf numFmtId="0" fontId="20" fillId="25" borderId="34" xfId="0" applyFont="1" applyFill="1" applyBorder="1" applyAlignment="1" applyProtection="1">
      <alignment horizontal="center" vertical="center" wrapText="1"/>
      <protection locked="0"/>
    </xf>
    <xf numFmtId="0" fontId="20" fillId="25" borderId="35" xfId="0" applyFont="1" applyFill="1" applyBorder="1" applyAlignment="1" applyProtection="1">
      <alignment horizontal="center" vertical="center" wrapText="1"/>
      <protection locked="0"/>
    </xf>
    <xf numFmtId="0" fontId="20" fillId="25" borderId="36" xfId="0" applyFont="1" applyFill="1" applyBorder="1" applyAlignment="1" applyProtection="1">
      <alignment horizontal="center" vertical="center" wrapText="1"/>
      <protection locked="0"/>
    </xf>
    <xf numFmtId="0" fontId="20" fillId="26" borderId="25" xfId="0" applyFont="1" applyFill="1" applyBorder="1" applyAlignment="1" applyProtection="1">
      <alignment horizontal="center" vertical="center" wrapText="1"/>
      <protection locked="0"/>
    </xf>
    <xf numFmtId="0" fontId="20" fillId="26" borderId="26" xfId="0" applyFont="1" applyFill="1" applyBorder="1" applyAlignment="1" applyProtection="1">
      <alignment horizontal="center" vertical="center" wrapText="1"/>
      <protection locked="0"/>
    </xf>
    <xf numFmtId="0" fontId="20" fillId="26" borderId="27" xfId="0" applyFont="1" applyFill="1" applyBorder="1" applyAlignment="1" applyProtection="1">
      <alignment horizontal="center" vertical="center" wrapText="1"/>
      <protection locked="0"/>
    </xf>
    <xf numFmtId="0" fontId="20" fillId="25" borderId="26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20" fillId="25" borderId="37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20" fillId="0" borderId="32" xfId="0" applyFont="1" applyFill="1" applyBorder="1" applyAlignment="1" applyProtection="1">
      <alignment horizontal="center" vertical="center" wrapText="1"/>
      <protection locked="0"/>
    </xf>
    <xf numFmtId="0" fontId="20" fillId="0" borderId="38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 1" xfId="55"/>
    <cellStyle name="Título 2" xfId="56"/>
    <cellStyle name="Título 3" xfId="57"/>
    <cellStyle name="Título 4" xfId="58"/>
    <cellStyle name="Título 5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a%20Instancia\Correg\Docs\produtividade\para%20publicar\produtividade%202011\vitaliciados%20-%20meta%207%20-%20VAR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as"/>
      <sheetName val="juizes"/>
      <sheetName val="Plan3"/>
      <sheetName val="REF"/>
      <sheetName val="EF"/>
      <sheetName val="F"/>
      <sheetName val=""/>
      <sheetName val="v"/>
      <sheetName val="va"/>
      <sheetName val="var"/>
      <sheetName val="vara"/>
      <sheetName val="#REF"/>
      <sheetName val="#RE"/>
      <sheetName val="#R"/>
      <sheetName val="#"/>
    </sheetNames>
    <sheetDataSet>
      <sheetData sheetId="0">
        <row r="4">
          <cell r="A4">
            <v>1</v>
          </cell>
          <cell r="B4" t="str">
            <v>1ª VT Recife</v>
          </cell>
        </row>
        <row r="5">
          <cell r="A5">
            <v>2</v>
          </cell>
          <cell r="B5" t="str">
            <v>2ª VT Recife</v>
          </cell>
        </row>
        <row r="6">
          <cell r="A6">
            <v>3</v>
          </cell>
          <cell r="B6" t="str">
            <v>3ª VT Recife</v>
          </cell>
        </row>
        <row r="7">
          <cell r="A7">
            <v>4</v>
          </cell>
          <cell r="B7" t="str">
            <v>4ª VT Recife</v>
          </cell>
        </row>
        <row r="8">
          <cell r="A8">
            <v>5</v>
          </cell>
          <cell r="B8" t="str">
            <v>5ª VT Recife</v>
          </cell>
        </row>
        <row r="9">
          <cell r="A9">
            <v>6</v>
          </cell>
          <cell r="B9" t="str">
            <v>6ª VT Recife</v>
          </cell>
        </row>
        <row r="10">
          <cell r="A10">
            <v>7</v>
          </cell>
          <cell r="B10" t="str">
            <v>7ª VT Recife</v>
          </cell>
        </row>
        <row r="11">
          <cell r="A11">
            <v>8</v>
          </cell>
          <cell r="B11" t="str">
            <v>8ª VT Recife</v>
          </cell>
        </row>
        <row r="12">
          <cell r="A12">
            <v>9</v>
          </cell>
          <cell r="B12" t="str">
            <v>9ª VT Recife</v>
          </cell>
        </row>
        <row r="13">
          <cell r="A13">
            <v>10</v>
          </cell>
          <cell r="B13" t="str">
            <v>10ª VT Recife</v>
          </cell>
        </row>
        <row r="14">
          <cell r="A14">
            <v>11</v>
          </cell>
          <cell r="B14" t="str">
            <v>11ª VT Recife</v>
          </cell>
        </row>
        <row r="15">
          <cell r="A15">
            <v>12</v>
          </cell>
          <cell r="B15" t="str">
            <v>12ª VT Recife</v>
          </cell>
        </row>
        <row r="16">
          <cell r="A16">
            <v>13</v>
          </cell>
          <cell r="B16" t="str">
            <v>13ª VT Recife</v>
          </cell>
        </row>
        <row r="17">
          <cell r="A17">
            <v>14</v>
          </cell>
          <cell r="B17" t="str">
            <v>14ª VT Recife</v>
          </cell>
        </row>
        <row r="18">
          <cell r="A18">
            <v>15</v>
          </cell>
          <cell r="B18" t="str">
            <v>15ª VT Recife</v>
          </cell>
        </row>
        <row r="19">
          <cell r="A19">
            <v>16</v>
          </cell>
          <cell r="B19" t="str">
            <v>16ª VT Recife</v>
          </cell>
        </row>
        <row r="20">
          <cell r="A20">
            <v>17</v>
          </cell>
          <cell r="B20" t="str">
            <v>17ª VT Recife</v>
          </cell>
        </row>
        <row r="21">
          <cell r="A21">
            <v>18</v>
          </cell>
          <cell r="B21" t="str">
            <v>18ª VT Recife</v>
          </cell>
        </row>
        <row r="22">
          <cell r="A22">
            <v>19</v>
          </cell>
          <cell r="B22" t="str">
            <v>19ª VT Recife</v>
          </cell>
        </row>
        <row r="23">
          <cell r="A23">
            <v>20</v>
          </cell>
          <cell r="B23" t="str">
            <v>20ª VT Recife</v>
          </cell>
        </row>
        <row r="24">
          <cell r="A24">
            <v>21</v>
          </cell>
          <cell r="B24" t="str">
            <v>21ª VT Recife</v>
          </cell>
        </row>
        <row r="25">
          <cell r="A25">
            <v>22</v>
          </cell>
          <cell r="B25" t="str">
            <v>22ª VT Recife</v>
          </cell>
        </row>
        <row r="26">
          <cell r="A26">
            <v>23</v>
          </cell>
          <cell r="B26" t="str">
            <v>23ª VT Recife</v>
          </cell>
        </row>
        <row r="27">
          <cell r="A27">
            <v>24</v>
          </cell>
          <cell r="B27" t="str">
            <v>1ª VT Barreiros</v>
          </cell>
        </row>
        <row r="28">
          <cell r="A28">
            <v>25</v>
          </cell>
          <cell r="B28" t="str">
            <v>2ª VT Barreiros</v>
          </cell>
        </row>
        <row r="29">
          <cell r="A29">
            <v>26</v>
          </cell>
          <cell r="B29" t="str">
            <v>1ª VT Cabo</v>
          </cell>
        </row>
        <row r="30">
          <cell r="A30">
            <v>27</v>
          </cell>
          <cell r="B30" t="str">
            <v>2ª VT Cabo</v>
          </cell>
        </row>
        <row r="31">
          <cell r="A31">
            <v>28</v>
          </cell>
          <cell r="B31" t="str">
            <v>1ª VT Caruaru</v>
          </cell>
        </row>
        <row r="32">
          <cell r="A32">
            <v>29</v>
          </cell>
          <cell r="B32" t="str">
            <v>2ª VT Caruaru</v>
          </cell>
        </row>
        <row r="33">
          <cell r="A33">
            <v>30</v>
          </cell>
          <cell r="B33" t="str">
            <v>3ª VT Caruaru</v>
          </cell>
        </row>
        <row r="34">
          <cell r="A34">
            <v>31</v>
          </cell>
          <cell r="B34" t="str">
            <v>1ª VT Igarassu</v>
          </cell>
        </row>
        <row r="35">
          <cell r="A35">
            <v>32</v>
          </cell>
          <cell r="B35" t="str">
            <v>1ª VT Ipojuca</v>
          </cell>
        </row>
        <row r="36">
          <cell r="A36">
            <v>33</v>
          </cell>
          <cell r="B36" t="str">
            <v>2ª VT Ipojuca</v>
          </cell>
        </row>
        <row r="37">
          <cell r="A37">
            <v>34</v>
          </cell>
          <cell r="B37" t="str">
            <v>1ª VT Jaboatão</v>
          </cell>
        </row>
        <row r="38">
          <cell r="A38">
            <v>35</v>
          </cell>
          <cell r="B38" t="str">
            <v>2ª VT Jaboatão</v>
          </cell>
        </row>
        <row r="39">
          <cell r="A39">
            <v>36</v>
          </cell>
          <cell r="B39" t="str">
            <v>3ª VT Jaboatão</v>
          </cell>
        </row>
        <row r="40">
          <cell r="A40">
            <v>37</v>
          </cell>
          <cell r="B40" t="str">
            <v>4ª VT Jaboatão</v>
          </cell>
        </row>
        <row r="41">
          <cell r="A41">
            <v>38</v>
          </cell>
          <cell r="B41" t="str">
            <v>1ª VT Olinda</v>
          </cell>
        </row>
        <row r="42">
          <cell r="A42">
            <v>39</v>
          </cell>
          <cell r="B42" t="str">
            <v>2ª VT Olinda</v>
          </cell>
        </row>
        <row r="43">
          <cell r="A43">
            <v>40</v>
          </cell>
          <cell r="B43" t="str">
            <v>3ª VT Olinda</v>
          </cell>
        </row>
        <row r="44">
          <cell r="A44">
            <v>41</v>
          </cell>
          <cell r="B44" t="str">
            <v>1ª VT Paulista</v>
          </cell>
        </row>
        <row r="45">
          <cell r="A45">
            <v>42</v>
          </cell>
          <cell r="B45" t="str">
            <v>2ª VT Paulista</v>
          </cell>
        </row>
        <row r="46">
          <cell r="A46">
            <v>43</v>
          </cell>
          <cell r="B46" t="str">
            <v>1ª VT Petrolina</v>
          </cell>
        </row>
        <row r="47">
          <cell r="A47">
            <v>44</v>
          </cell>
          <cell r="B47" t="str">
            <v>2ª VT Petrolina</v>
          </cell>
        </row>
        <row r="48">
          <cell r="A48">
            <v>45</v>
          </cell>
          <cell r="B48" t="str">
            <v>VT Araripina</v>
          </cell>
        </row>
        <row r="49">
          <cell r="A49">
            <v>46</v>
          </cell>
          <cell r="B49" t="str">
            <v>VT Belo Jardim</v>
          </cell>
        </row>
        <row r="50">
          <cell r="A50">
            <v>47</v>
          </cell>
          <cell r="B50" t="str">
            <v>VT Carpina</v>
          </cell>
        </row>
        <row r="51">
          <cell r="A51">
            <v>48</v>
          </cell>
          <cell r="B51" t="str">
            <v>VT Catende</v>
          </cell>
        </row>
        <row r="52">
          <cell r="A52">
            <v>49</v>
          </cell>
          <cell r="B52" t="str">
            <v>VT Escada</v>
          </cell>
        </row>
        <row r="53">
          <cell r="A53">
            <v>50</v>
          </cell>
          <cell r="B53" t="str">
            <v>VT Garanhuns</v>
          </cell>
        </row>
        <row r="54">
          <cell r="A54">
            <v>51</v>
          </cell>
          <cell r="B54" t="str">
            <v>VT Goiana</v>
          </cell>
        </row>
        <row r="55">
          <cell r="A55">
            <v>52</v>
          </cell>
          <cell r="B55" t="str">
            <v>VT Limoeiro</v>
          </cell>
        </row>
        <row r="56">
          <cell r="A56">
            <v>53</v>
          </cell>
          <cell r="B56" t="str">
            <v>VT Nazaré</v>
          </cell>
        </row>
        <row r="57">
          <cell r="A57">
            <v>54</v>
          </cell>
          <cell r="B57" t="str">
            <v>1ª VT Palmares</v>
          </cell>
        </row>
        <row r="58">
          <cell r="A58">
            <v>55</v>
          </cell>
          <cell r="B58" t="str">
            <v>VT Pesqueira</v>
          </cell>
        </row>
        <row r="59">
          <cell r="A59">
            <v>56</v>
          </cell>
          <cell r="B59" t="str">
            <v>1ª VT Ribeirão</v>
          </cell>
        </row>
        <row r="60">
          <cell r="A60">
            <v>57</v>
          </cell>
          <cell r="B60" t="str">
            <v>VT S. Lourenço </v>
          </cell>
        </row>
        <row r="61">
          <cell r="A61">
            <v>58</v>
          </cell>
          <cell r="B61" t="str">
            <v>VT S.Talhada</v>
          </cell>
        </row>
        <row r="62">
          <cell r="A62">
            <v>59</v>
          </cell>
          <cell r="B62" t="str">
            <v>VT Salgueiro</v>
          </cell>
        </row>
        <row r="63">
          <cell r="A63">
            <v>60</v>
          </cell>
          <cell r="B63" t="str">
            <v>VT Timbaúba</v>
          </cell>
        </row>
        <row r="64">
          <cell r="A64">
            <v>61</v>
          </cell>
          <cell r="B64" t="str">
            <v>VT Vitória</v>
          </cell>
        </row>
        <row r="65">
          <cell r="A65">
            <v>62</v>
          </cell>
          <cell r="B65" t="str">
            <v>PAJT Floresta</v>
          </cell>
        </row>
        <row r="66">
          <cell r="A66">
            <v>63</v>
          </cell>
          <cell r="B66" t="str">
            <v>PAJT Sertânia</v>
          </cell>
        </row>
        <row r="67">
          <cell r="A67">
            <v>64</v>
          </cell>
          <cell r="B67" t="str">
            <v>PAJT Surubim</v>
          </cell>
        </row>
        <row r="68">
          <cell r="A68">
            <v>65</v>
          </cell>
          <cell r="B68" t="str">
            <v>3ª VT Ipojuca</v>
          </cell>
        </row>
        <row r="69">
          <cell r="A69">
            <v>66</v>
          </cell>
          <cell r="B69" t="str">
            <v>5ª VT Jaboatão</v>
          </cell>
        </row>
        <row r="70">
          <cell r="A70">
            <v>67</v>
          </cell>
          <cell r="B70" t="str">
            <v>2ª VT Igarassu</v>
          </cell>
        </row>
        <row r="71">
          <cell r="A71">
            <v>68</v>
          </cell>
          <cell r="B71" t="str">
            <v>3ª VT Petrolina</v>
          </cell>
        </row>
        <row r="72">
          <cell r="A72">
            <v>69</v>
          </cell>
          <cell r="B72" t="str">
            <v>2ª VT Palmares</v>
          </cell>
        </row>
        <row r="73">
          <cell r="A73">
            <v>70</v>
          </cell>
          <cell r="B73" t="str">
            <v>2ª VT Ribeirão</v>
          </cell>
        </row>
        <row r="74">
          <cell r="A74">
            <v>71</v>
          </cell>
        </row>
        <row r="75">
          <cell r="A75">
            <v>72</v>
          </cell>
        </row>
        <row r="76">
          <cell r="A76">
            <v>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41"/>
  <sheetViews>
    <sheetView tabSelected="1" zoomScale="90" zoomScaleNormal="9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64" sqref="A464"/>
      <selection pane="bottomRight" activeCell="B29" sqref="B29:B31"/>
    </sheetView>
  </sheetViews>
  <sheetFormatPr defaultColWidth="9.140625" defaultRowHeight="12.75" customHeight="1"/>
  <cols>
    <col min="1" max="1" width="6.140625" style="1" customWidth="1"/>
    <col min="2" max="2" width="18.57421875" style="2" customWidth="1"/>
    <col min="3" max="3" width="13.8515625" style="3" customWidth="1"/>
    <col min="4" max="4" width="5.00390625" style="1" customWidth="1"/>
    <col min="5" max="5" width="16.28125" style="4" customWidth="1"/>
    <col min="6" max="6" width="5.8515625" style="1" customWidth="1"/>
    <col min="7" max="7" width="6.7109375" style="1" customWidth="1"/>
    <col min="8" max="8" width="6.8515625" style="1" customWidth="1"/>
    <col min="9" max="9" width="6.57421875" style="1" customWidth="1"/>
    <col min="10" max="10" width="8.140625" style="1" customWidth="1"/>
    <col min="11" max="11" width="7.8515625" style="1" customWidth="1"/>
    <col min="12" max="12" width="5.421875" style="1" customWidth="1"/>
    <col min="13" max="13" width="6.140625" style="1" customWidth="1"/>
    <col min="14" max="14" width="6.28125" style="1" customWidth="1"/>
    <col min="15" max="15" width="9.140625" style="1" customWidth="1"/>
    <col min="16" max="16" width="6.7109375" style="1" customWidth="1"/>
    <col min="17" max="17" width="7.421875" style="5" customWidth="1"/>
    <col min="18" max="18" width="7.00390625" style="5" customWidth="1"/>
    <col min="19" max="19" width="10.7109375" style="1" customWidth="1"/>
    <col min="20" max="20" width="7.8515625" style="1" customWidth="1"/>
    <col min="21" max="21" width="7.140625" style="1" customWidth="1"/>
    <col min="22" max="22" width="8.421875" style="1" customWidth="1"/>
    <col min="23" max="23" width="11.00390625" style="6" customWidth="1"/>
    <col min="24" max="28" width="9.57421875" style="2" customWidth="1"/>
    <col min="29" max="29" width="15.57421875" style="2" customWidth="1"/>
    <col min="30" max="16384" width="9.57421875" style="2" customWidth="1"/>
  </cols>
  <sheetData>
    <row r="1" spans="2:41" s="7" customFormat="1" ht="12.75" customHeight="1">
      <c r="B1" s="118" t="s">
        <v>204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2:23" ht="12.75" customHeight="1">
      <c r="B2" s="119" t="s">
        <v>0</v>
      </c>
      <c r="C2" s="120" t="s">
        <v>1</v>
      </c>
      <c r="D2" s="121" t="s">
        <v>2</v>
      </c>
      <c r="E2" s="121"/>
      <c r="F2" s="122" t="s">
        <v>3</v>
      </c>
      <c r="G2" s="122"/>
      <c r="H2" s="122"/>
      <c r="I2" s="122"/>
      <c r="J2" s="123" t="s">
        <v>4</v>
      </c>
      <c r="K2" s="123"/>
      <c r="L2" s="123"/>
      <c r="M2" s="123"/>
      <c r="N2" s="123"/>
      <c r="O2" s="123"/>
      <c r="P2" s="123"/>
      <c r="Q2" s="124" t="s">
        <v>5</v>
      </c>
      <c r="R2" s="124"/>
      <c r="S2" s="125" t="s">
        <v>6</v>
      </c>
      <c r="T2" s="125" t="s">
        <v>7</v>
      </c>
      <c r="U2" s="125" t="s">
        <v>8</v>
      </c>
      <c r="V2" s="123" t="s">
        <v>9</v>
      </c>
      <c r="W2" s="123"/>
    </row>
    <row r="3" spans="2:23" ht="33.75" customHeight="1">
      <c r="B3" s="119"/>
      <c r="C3" s="120"/>
      <c r="D3" s="121"/>
      <c r="E3" s="121"/>
      <c r="F3" s="126" t="s">
        <v>10</v>
      </c>
      <c r="G3" s="127" t="s">
        <v>11</v>
      </c>
      <c r="H3" s="127"/>
      <c r="I3" s="128" t="s">
        <v>12</v>
      </c>
      <c r="J3" s="123"/>
      <c r="K3" s="123"/>
      <c r="L3" s="123"/>
      <c r="M3" s="123"/>
      <c r="N3" s="123"/>
      <c r="O3" s="123"/>
      <c r="P3" s="123"/>
      <c r="Q3" s="124"/>
      <c r="R3" s="124"/>
      <c r="S3" s="125"/>
      <c r="T3" s="125"/>
      <c r="U3" s="125"/>
      <c r="V3" s="123"/>
      <c r="W3" s="123"/>
    </row>
    <row r="4" spans="2:23" ht="34.5" customHeight="1">
      <c r="B4" s="10" t="s">
        <v>13</v>
      </c>
      <c r="C4" s="120"/>
      <c r="D4" s="121"/>
      <c r="E4" s="121"/>
      <c r="F4" s="126"/>
      <c r="G4" s="11" t="s">
        <v>14</v>
      </c>
      <c r="H4" s="11" t="s">
        <v>15</v>
      </c>
      <c r="I4" s="128"/>
      <c r="J4" s="9" t="s">
        <v>16</v>
      </c>
      <c r="K4" s="9" t="s">
        <v>17</v>
      </c>
      <c r="L4" s="9" t="s">
        <v>18</v>
      </c>
      <c r="M4" s="9" t="s">
        <v>19</v>
      </c>
      <c r="N4" s="9" t="s">
        <v>20</v>
      </c>
      <c r="O4" s="9" t="s">
        <v>21</v>
      </c>
      <c r="P4" s="9" t="s">
        <v>12</v>
      </c>
      <c r="Q4" s="12" t="s">
        <v>14</v>
      </c>
      <c r="R4" s="12" t="s">
        <v>15</v>
      </c>
      <c r="S4" s="125"/>
      <c r="T4" s="125"/>
      <c r="U4" s="125"/>
      <c r="V4" s="13" t="s">
        <v>22</v>
      </c>
      <c r="W4" s="9" t="s">
        <v>23</v>
      </c>
    </row>
    <row r="5" spans="2:23" ht="25.5" customHeight="1">
      <c r="B5" s="139" t="s">
        <v>167</v>
      </c>
      <c r="C5" s="89" t="s">
        <v>2</v>
      </c>
      <c r="D5" s="90" t="s">
        <v>30</v>
      </c>
      <c r="E5" s="91" t="s">
        <v>208</v>
      </c>
      <c r="F5" s="92"/>
      <c r="G5" s="92"/>
      <c r="H5" s="92"/>
      <c r="I5" s="93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4"/>
      <c r="W5" s="94"/>
    </row>
    <row r="6" spans="1:23" ht="21" customHeight="1">
      <c r="A6" s="1">
        <v>62</v>
      </c>
      <c r="B6" s="139"/>
      <c r="C6" s="95" t="str">
        <f>IF(A6="","VARA",VLOOKUP(A6,'[1]varas'!$A$4:$B$67,2))</f>
        <v>PAJT Floresta</v>
      </c>
      <c r="D6" s="103"/>
      <c r="E6" s="91"/>
      <c r="F6" s="92">
        <v>0</v>
      </c>
      <c r="G6" s="92">
        <v>0</v>
      </c>
      <c r="H6" s="92">
        <v>0</v>
      </c>
      <c r="I6" s="93">
        <f>SUM(F6:H6)</f>
        <v>0</v>
      </c>
      <c r="J6" s="92">
        <v>0</v>
      </c>
      <c r="K6" s="92">
        <v>0</v>
      </c>
      <c r="L6" s="92">
        <v>0</v>
      </c>
      <c r="M6" s="92">
        <v>0</v>
      </c>
      <c r="N6" s="92">
        <v>0</v>
      </c>
      <c r="O6" s="92">
        <v>0</v>
      </c>
      <c r="P6" s="92">
        <f>SUM(J6:O6)</f>
        <v>0</v>
      </c>
      <c r="Q6" s="92">
        <v>0</v>
      </c>
      <c r="R6" s="92">
        <v>0</v>
      </c>
      <c r="S6" s="92">
        <v>0</v>
      </c>
      <c r="T6" s="92">
        <v>0</v>
      </c>
      <c r="U6" s="92">
        <v>0</v>
      </c>
      <c r="V6" s="94"/>
      <c r="W6" s="94"/>
    </row>
    <row r="7" spans="1:23" ht="20.25" customHeight="1">
      <c r="A7" s="1">
        <v>59</v>
      </c>
      <c r="B7" s="139"/>
      <c r="C7" s="95" t="str">
        <f>IF(A7="","VARA",VLOOKUP(A7,'[1]varas'!$A$4:$B$67,2))</f>
        <v>VT Salgueiro</v>
      </c>
      <c r="D7" s="103"/>
      <c r="E7" s="91"/>
      <c r="F7" s="92">
        <v>4</v>
      </c>
      <c r="G7" s="92">
        <v>28</v>
      </c>
      <c r="H7" s="92">
        <v>0</v>
      </c>
      <c r="I7" s="93">
        <f>SUM(F7:H7)</f>
        <v>32</v>
      </c>
      <c r="J7" s="92">
        <v>31</v>
      </c>
      <c r="K7" s="92">
        <v>0</v>
      </c>
      <c r="L7" s="92">
        <v>0</v>
      </c>
      <c r="M7" s="92">
        <v>1</v>
      </c>
      <c r="N7" s="92">
        <v>0</v>
      </c>
      <c r="O7" s="92">
        <v>0</v>
      </c>
      <c r="P7" s="92">
        <f>SUM(J7:O7)</f>
        <v>32</v>
      </c>
      <c r="Q7" s="92">
        <v>0</v>
      </c>
      <c r="R7" s="92">
        <v>0</v>
      </c>
      <c r="S7" s="92">
        <v>0</v>
      </c>
      <c r="T7" s="92">
        <v>0</v>
      </c>
      <c r="U7" s="92">
        <v>0</v>
      </c>
      <c r="V7" s="94"/>
      <c r="W7" s="94"/>
    </row>
    <row r="8" spans="2:23" ht="19.5" customHeight="1">
      <c r="B8" s="139"/>
      <c r="C8" s="96" t="s">
        <v>12</v>
      </c>
      <c r="D8" s="97"/>
      <c r="E8" s="98"/>
      <c r="F8" s="99">
        <f>SUM(F5:F7)</f>
        <v>4</v>
      </c>
      <c r="G8" s="99">
        <f>SUM(G5:G7)</f>
        <v>28</v>
      </c>
      <c r="H8" s="99">
        <f>SUM(H5:H7)</f>
        <v>0</v>
      </c>
      <c r="I8" s="100">
        <f>SUM(F8:H8)</f>
        <v>32</v>
      </c>
      <c r="J8" s="99">
        <f aca="true" t="shared" si="0" ref="J8:O8">SUM(J5:J7)</f>
        <v>31</v>
      </c>
      <c r="K8" s="99">
        <f t="shared" si="0"/>
        <v>0</v>
      </c>
      <c r="L8" s="99">
        <f t="shared" si="0"/>
        <v>0</v>
      </c>
      <c r="M8" s="99">
        <f t="shared" si="0"/>
        <v>1</v>
      </c>
      <c r="N8" s="99">
        <f t="shared" si="0"/>
        <v>0</v>
      </c>
      <c r="O8" s="99">
        <f t="shared" si="0"/>
        <v>0</v>
      </c>
      <c r="P8" s="99">
        <f>SUM(J8:O8)</f>
        <v>32</v>
      </c>
      <c r="Q8" s="99">
        <f>SUM(Q5:Q7)</f>
        <v>0</v>
      </c>
      <c r="R8" s="99">
        <f>SUM(R5:R7)</f>
        <v>0</v>
      </c>
      <c r="S8" s="99">
        <f>SUM(S5:S7)</f>
        <v>0</v>
      </c>
      <c r="T8" s="99">
        <f>SUM(T5:T7)</f>
        <v>0</v>
      </c>
      <c r="U8" s="99">
        <f>SUM(U5:U7)</f>
        <v>0</v>
      </c>
      <c r="V8" s="101">
        <f>IF(I8-Q8=0,"",IF(D8="",(P8+S8)/(I8-Q8),IF(AND(D8&lt;&gt;"",(P8+S8)/(I8-Q8)&gt;=50%),(P8+S8)/(I8-Q8),"")))</f>
        <v>1</v>
      </c>
      <c r="W8" s="101">
        <f>IF(I8=O8,"",IF(V8="",0,(P8+Q8+S8-O8)/(I8-O8)))</f>
        <v>1</v>
      </c>
    </row>
    <row r="9" spans="2:28" ht="24.75" customHeight="1">
      <c r="B9" s="129" t="s">
        <v>24</v>
      </c>
      <c r="C9" s="14" t="s">
        <v>2</v>
      </c>
      <c r="D9" s="29"/>
      <c r="E9" s="16" t="s">
        <v>27</v>
      </c>
      <c r="F9" s="15"/>
      <c r="G9" s="15"/>
      <c r="H9" s="15"/>
      <c r="I9" s="17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8"/>
      <c r="W9" s="18"/>
      <c r="AB9" s="19"/>
    </row>
    <row r="10" spans="1:28" ht="24.75" customHeight="1">
      <c r="A10" s="1">
        <v>34</v>
      </c>
      <c r="B10" s="129"/>
      <c r="C10" s="20" t="str">
        <f>IF(A10="","VARA",VLOOKUP(A10,'[1]varas'!$A$4:$B$67,2))</f>
        <v>1ª VT Jaboatão</v>
      </c>
      <c r="D10" s="15"/>
      <c r="E10" s="16"/>
      <c r="F10" s="15">
        <f>38+26+9+13</f>
        <v>86</v>
      </c>
      <c r="G10" s="15">
        <v>7</v>
      </c>
      <c r="H10" s="15">
        <v>0</v>
      </c>
      <c r="I10" s="17">
        <f>SUM(F10:H10)</f>
        <v>93</v>
      </c>
      <c r="J10" s="15">
        <v>30</v>
      </c>
      <c r="K10" s="15">
        <v>7</v>
      </c>
      <c r="L10" s="15">
        <v>9</v>
      </c>
      <c r="M10" s="15">
        <v>13</v>
      </c>
      <c r="N10" s="15">
        <v>0</v>
      </c>
      <c r="O10" s="15">
        <v>26</v>
      </c>
      <c r="P10" s="15">
        <f>SUM(J10:O10)</f>
        <v>85</v>
      </c>
      <c r="Q10" s="15">
        <v>7</v>
      </c>
      <c r="R10" s="15">
        <v>0</v>
      </c>
      <c r="S10" s="15">
        <v>0</v>
      </c>
      <c r="T10" s="15">
        <v>1</v>
      </c>
      <c r="U10" s="15">
        <v>132</v>
      </c>
      <c r="V10" s="18"/>
      <c r="W10" s="18"/>
      <c r="AB10" s="19"/>
    </row>
    <row r="11" spans="1:28" ht="21.75" customHeight="1">
      <c r="A11" s="1">
        <v>37</v>
      </c>
      <c r="B11" s="129"/>
      <c r="C11" s="20" t="str">
        <f>IF(A11="","VARA",VLOOKUP(A11,'[1]varas'!$A$4:$B$67,2))</f>
        <v>4ª VT Jaboatão</v>
      </c>
      <c r="D11" s="15"/>
      <c r="E11" s="16"/>
      <c r="F11" s="15">
        <v>3</v>
      </c>
      <c r="G11" s="15">
        <v>0</v>
      </c>
      <c r="H11" s="15">
        <v>0</v>
      </c>
      <c r="I11" s="17">
        <f>SUM(F11:H11)</f>
        <v>3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3</v>
      </c>
      <c r="P11" s="15">
        <f>SUM(J11:O11)</f>
        <v>3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8"/>
      <c r="W11" s="18"/>
      <c r="AB11" s="19"/>
    </row>
    <row r="12" spans="1:29" s="27" customFormat="1" ht="18" customHeight="1">
      <c r="A12" s="1"/>
      <c r="B12" s="129"/>
      <c r="C12" s="21" t="s">
        <v>12</v>
      </c>
      <c r="D12" s="22"/>
      <c r="E12" s="23"/>
      <c r="F12" s="24">
        <f>SUM(F9:F11)</f>
        <v>89</v>
      </c>
      <c r="G12" s="24">
        <f>SUM(G9:G11)</f>
        <v>7</v>
      </c>
      <c r="H12" s="24">
        <f>SUM(H9:H11)</f>
        <v>0</v>
      </c>
      <c r="I12" s="25">
        <f>SUM(F12:H12)</f>
        <v>96</v>
      </c>
      <c r="J12" s="24">
        <f aca="true" t="shared" si="1" ref="J12:O12">SUM(J9:J11)</f>
        <v>30</v>
      </c>
      <c r="K12" s="24">
        <f t="shared" si="1"/>
        <v>7</v>
      </c>
      <c r="L12" s="24">
        <f t="shared" si="1"/>
        <v>9</v>
      </c>
      <c r="M12" s="24">
        <f t="shared" si="1"/>
        <v>13</v>
      </c>
      <c r="N12" s="24">
        <f t="shared" si="1"/>
        <v>0</v>
      </c>
      <c r="O12" s="24">
        <f t="shared" si="1"/>
        <v>29</v>
      </c>
      <c r="P12" s="24">
        <f>SUM(J12:O12)</f>
        <v>88</v>
      </c>
      <c r="Q12" s="24">
        <f>SUM(Q9:Q11)</f>
        <v>7</v>
      </c>
      <c r="R12" s="24">
        <f>SUM(R9:R11)</f>
        <v>0</v>
      </c>
      <c r="S12" s="24">
        <f>SUM(S9:S11)</f>
        <v>0</v>
      </c>
      <c r="T12" s="24">
        <f>SUM(T9:T11)</f>
        <v>1</v>
      </c>
      <c r="U12" s="24">
        <f>SUM(U9:U11)</f>
        <v>132</v>
      </c>
      <c r="V12" s="26">
        <f>IF(I12-Q12=0,"",IF(D12="",(P12+S12)/(I12-Q12),IF(AND(D12&lt;&gt;"",(P12+S12)/(I12-Q12)&gt;=50%),(P12+S12)/(I12-Q12),"")))</f>
        <v>0.9887640449438202</v>
      </c>
      <c r="W12" s="26">
        <f>IF(I12=O12,"",IF(V12="",0,(P12+Q12+S12-O12)/(I12-O12)))</f>
        <v>0.9850746268656716</v>
      </c>
      <c r="AC12" s="28"/>
    </row>
    <row r="13" spans="1:29" s="30" customFormat="1" ht="20.25" customHeight="1">
      <c r="A13" s="1"/>
      <c r="B13" s="130" t="s">
        <v>25</v>
      </c>
      <c r="C13" s="14" t="s">
        <v>158</v>
      </c>
      <c r="D13" s="29" t="s">
        <v>183</v>
      </c>
      <c r="E13" s="16" t="s">
        <v>184</v>
      </c>
      <c r="F13" s="15"/>
      <c r="G13" s="15"/>
      <c r="H13" s="15"/>
      <c r="I13" s="17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8"/>
      <c r="W13" s="18"/>
      <c r="AC13" s="31"/>
    </row>
    <row r="14" spans="1:29" s="30" customFormat="1" ht="16.5" customHeight="1">
      <c r="A14" s="1">
        <v>2</v>
      </c>
      <c r="B14" s="130"/>
      <c r="C14" s="20" t="str">
        <f>IF(A14="","VARA",VLOOKUP(A14,'[1]varas'!$A$4:$B$67,2))</f>
        <v>2ª VT Recife</v>
      </c>
      <c r="D14" s="29"/>
      <c r="E14" s="16"/>
      <c r="F14" s="15">
        <v>0</v>
      </c>
      <c r="G14" s="15">
        <v>0</v>
      </c>
      <c r="H14" s="15">
        <v>0</v>
      </c>
      <c r="I14" s="17">
        <f>SUM(F14:H14)</f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f>SUM(J14:O14)</f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8"/>
      <c r="W14" s="18"/>
      <c r="AC14" s="31"/>
    </row>
    <row r="15" spans="1:28" s="30" customFormat="1" ht="17.25" customHeight="1">
      <c r="A15" s="32"/>
      <c r="B15" s="130"/>
      <c r="C15" s="21" t="s">
        <v>12</v>
      </c>
      <c r="D15" s="33"/>
      <c r="E15" s="23"/>
      <c r="F15" s="24">
        <f>SUM(F13:F14)</f>
        <v>0</v>
      </c>
      <c r="G15" s="24">
        <f>SUM(G13:G14)</f>
        <v>0</v>
      </c>
      <c r="H15" s="24">
        <f>SUM(H13:H14)</f>
        <v>0</v>
      </c>
      <c r="I15" s="25">
        <f>SUM(F15:H15)</f>
        <v>0</v>
      </c>
      <c r="J15" s="24">
        <f aca="true" t="shared" si="2" ref="J15:O15">SUM(J13:J14)</f>
        <v>0</v>
      </c>
      <c r="K15" s="24">
        <f t="shared" si="2"/>
        <v>0</v>
      </c>
      <c r="L15" s="24">
        <f t="shared" si="2"/>
        <v>0</v>
      </c>
      <c r="M15" s="24">
        <f t="shared" si="2"/>
        <v>0</v>
      </c>
      <c r="N15" s="24">
        <f t="shared" si="2"/>
        <v>0</v>
      </c>
      <c r="O15" s="24">
        <f t="shared" si="2"/>
        <v>0</v>
      </c>
      <c r="P15" s="24">
        <f>SUM(J15:O15)</f>
        <v>0</v>
      </c>
      <c r="Q15" s="24">
        <f>SUM(Q13:Q14)</f>
        <v>0</v>
      </c>
      <c r="R15" s="24">
        <f>SUM(R13:R14)</f>
        <v>0</v>
      </c>
      <c r="S15" s="24">
        <f>SUM(S13:S14)</f>
        <v>0</v>
      </c>
      <c r="T15" s="24">
        <f>SUM(T13:T14)</f>
        <v>0</v>
      </c>
      <c r="U15" s="24">
        <f>SUM(U13:U14)</f>
        <v>0</v>
      </c>
      <c r="V15" s="26">
        <f>IF(I15-Q15=0,"",IF(D15="",(P15+S15)/(I15-Q15),IF(AND(D15&lt;&gt;"",(P15+S15)/(I15-Q15)&gt;=50%),(P15+S15)/(I15-Q15),"")))</f>
      </c>
      <c r="W15" s="26">
        <f>IF(I15=O15,"",IF(V15="",0,(P15+Q15+S15-O15)/(I15-O15)))</f>
      </c>
      <c r="AB15" s="34"/>
    </row>
    <row r="16" spans="1:28" s="30" customFormat="1" ht="21.75" customHeight="1">
      <c r="A16" s="32"/>
      <c r="B16" s="130" t="s">
        <v>26</v>
      </c>
      <c r="C16" s="14" t="s">
        <v>2</v>
      </c>
      <c r="D16" s="15"/>
      <c r="E16" s="16" t="s">
        <v>27</v>
      </c>
      <c r="F16" s="15"/>
      <c r="G16" s="15"/>
      <c r="H16" s="15"/>
      <c r="I16" s="17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8"/>
      <c r="W16" s="18"/>
      <c r="AB16" s="34"/>
    </row>
    <row r="17" spans="1:28" s="30" customFormat="1" ht="21.75" customHeight="1">
      <c r="A17" s="32">
        <v>19</v>
      </c>
      <c r="B17" s="130"/>
      <c r="C17" s="20" t="str">
        <f>IF(A17="","VARA",VLOOKUP(A17,'[1]varas'!$A$4:$B$67,2))</f>
        <v>19ª VT Recife</v>
      </c>
      <c r="D17" s="15"/>
      <c r="E17" s="16"/>
      <c r="F17" s="15">
        <v>1</v>
      </c>
      <c r="G17" s="15">
        <v>0</v>
      </c>
      <c r="H17" s="15">
        <v>0</v>
      </c>
      <c r="I17" s="17">
        <f>SUM(F17:H17)</f>
        <v>1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1</v>
      </c>
      <c r="P17" s="15">
        <f>SUM(J17:O17)</f>
        <v>1</v>
      </c>
      <c r="Q17" s="15">
        <v>0</v>
      </c>
      <c r="R17" s="15">
        <v>0</v>
      </c>
      <c r="S17" s="15">
        <v>0</v>
      </c>
      <c r="T17" s="15">
        <v>0</v>
      </c>
      <c r="U17" s="15">
        <v>1</v>
      </c>
      <c r="V17" s="18"/>
      <c r="W17" s="18"/>
      <c r="AB17" s="34"/>
    </row>
    <row r="18" spans="1:28" s="30" customFormat="1" ht="20.25" customHeight="1">
      <c r="A18" s="32">
        <v>20</v>
      </c>
      <c r="B18" s="130"/>
      <c r="C18" s="20" t="str">
        <f>IF(A18="","VARA",VLOOKUP(A18,'[1]varas'!$A$4:$B$67,2))</f>
        <v>20ª VT Recife</v>
      </c>
      <c r="D18" s="15"/>
      <c r="E18" s="16"/>
      <c r="F18" s="15">
        <f>48+48+7+8</f>
        <v>111</v>
      </c>
      <c r="G18" s="15">
        <v>0</v>
      </c>
      <c r="H18" s="15">
        <v>0</v>
      </c>
      <c r="I18" s="17">
        <f>SUM(F18:H18)</f>
        <v>111</v>
      </c>
      <c r="J18" s="15">
        <v>30</v>
      </c>
      <c r="K18" s="15">
        <v>18</v>
      </c>
      <c r="L18" s="15">
        <v>7</v>
      </c>
      <c r="M18" s="15">
        <v>8</v>
      </c>
      <c r="N18" s="15">
        <v>0</v>
      </c>
      <c r="O18" s="15">
        <v>48</v>
      </c>
      <c r="P18" s="15">
        <f>SUM(J18:O18)</f>
        <v>111</v>
      </c>
      <c r="Q18" s="15">
        <v>0</v>
      </c>
      <c r="R18" s="15">
        <v>0</v>
      </c>
      <c r="S18" s="15">
        <v>0</v>
      </c>
      <c r="T18" s="15">
        <v>0</v>
      </c>
      <c r="U18" s="15">
        <v>213</v>
      </c>
      <c r="V18" s="18"/>
      <c r="W18" s="18"/>
      <c r="AB18" s="34"/>
    </row>
    <row r="19" spans="1:28" s="30" customFormat="1" ht="18.75" customHeight="1">
      <c r="A19" s="32"/>
      <c r="B19" s="130"/>
      <c r="C19" s="21" t="s">
        <v>12</v>
      </c>
      <c r="D19" s="33"/>
      <c r="E19" s="23"/>
      <c r="F19" s="24">
        <f>SUM(F16:F18)</f>
        <v>112</v>
      </c>
      <c r="G19" s="24">
        <f>SUM(G16:G18)</f>
        <v>0</v>
      </c>
      <c r="H19" s="24">
        <f>SUM(H16:H18)</f>
        <v>0</v>
      </c>
      <c r="I19" s="25">
        <f>SUM(F19:H19)</f>
        <v>112</v>
      </c>
      <c r="J19" s="24">
        <f aca="true" t="shared" si="3" ref="J19:O19">SUM(J16:J18)</f>
        <v>30</v>
      </c>
      <c r="K19" s="24">
        <f t="shared" si="3"/>
        <v>18</v>
      </c>
      <c r="L19" s="24">
        <f t="shared" si="3"/>
        <v>7</v>
      </c>
      <c r="M19" s="24">
        <f t="shared" si="3"/>
        <v>8</v>
      </c>
      <c r="N19" s="24">
        <f t="shared" si="3"/>
        <v>0</v>
      </c>
      <c r="O19" s="24">
        <f t="shared" si="3"/>
        <v>49</v>
      </c>
      <c r="P19" s="24">
        <f>SUM(J19:O19)</f>
        <v>112</v>
      </c>
      <c r="Q19" s="24">
        <f>SUM(Q16:Q18)</f>
        <v>0</v>
      </c>
      <c r="R19" s="24">
        <f>SUM(R16:R18)</f>
        <v>0</v>
      </c>
      <c r="S19" s="24">
        <f>SUM(S16:S18)</f>
        <v>0</v>
      </c>
      <c r="T19" s="24">
        <f>SUM(T16:T18)</f>
        <v>0</v>
      </c>
      <c r="U19" s="24">
        <f>SUM(U16:U18)</f>
        <v>214</v>
      </c>
      <c r="V19" s="26">
        <f>IF(I19-Q19=0,"",IF(D19="",(P19+S19)/(I19-Q19),IF(AND(D19&lt;&gt;"",(P19+S19)/(I19-Q19)&gt;=50%),(P19+S19)/(I19-Q19),"")))</f>
        <v>1</v>
      </c>
      <c r="W19" s="26">
        <f>IF(I19=O19,"",IF(V19="",0,(P19+Q19+S19-O19)/(I19-O19)))</f>
        <v>1</v>
      </c>
      <c r="AB19" s="34"/>
    </row>
    <row r="20" spans="1:28" s="30" customFormat="1" ht="22.5" customHeight="1">
      <c r="A20" s="32"/>
      <c r="B20" s="130" t="s">
        <v>28</v>
      </c>
      <c r="C20" s="14" t="s">
        <v>2</v>
      </c>
      <c r="D20" s="29"/>
      <c r="E20" s="16" t="s">
        <v>27</v>
      </c>
      <c r="F20" s="15"/>
      <c r="G20" s="15"/>
      <c r="H20" s="15"/>
      <c r="I20" s="17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8"/>
      <c r="W20" s="18"/>
      <c r="AB20" s="34"/>
    </row>
    <row r="21" spans="1:28" s="30" customFormat="1" ht="19.5" customHeight="1">
      <c r="A21" s="32">
        <v>3</v>
      </c>
      <c r="B21" s="130"/>
      <c r="C21" s="20" t="str">
        <f>IF(A21="","VARA",VLOOKUP(A21,'[1]varas'!$A$4:$B$67,2))</f>
        <v>3ª VT Recife</v>
      </c>
      <c r="D21" s="29"/>
      <c r="E21" s="16"/>
      <c r="F21" s="15">
        <f>55+46+7+10</f>
        <v>118</v>
      </c>
      <c r="G21" s="15">
        <v>13</v>
      </c>
      <c r="H21" s="15">
        <v>3</v>
      </c>
      <c r="I21" s="17">
        <f>SUM(F21:H21)</f>
        <v>134</v>
      </c>
      <c r="J21" s="15">
        <v>37</v>
      </c>
      <c r="K21" s="15">
        <v>23</v>
      </c>
      <c r="L21" s="15">
        <v>7</v>
      </c>
      <c r="M21" s="15">
        <v>12</v>
      </c>
      <c r="N21" s="15">
        <v>0</v>
      </c>
      <c r="O21" s="15">
        <v>46</v>
      </c>
      <c r="P21" s="15">
        <f>SUM(J21:O21)</f>
        <v>125</v>
      </c>
      <c r="Q21" s="15">
        <v>8</v>
      </c>
      <c r="R21" s="15">
        <v>0</v>
      </c>
      <c r="S21" s="15">
        <v>0</v>
      </c>
      <c r="T21" s="15">
        <v>1</v>
      </c>
      <c r="U21" s="15">
        <v>144</v>
      </c>
      <c r="V21" s="18"/>
      <c r="W21" s="18"/>
      <c r="AB21" s="34"/>
    </row>
    <row r="22" spans="1:28" s="37" customFormat="1" ht="18" customHeight="1">
      <c r="A22" s="35"/>
      <c r="B22" s="130"/>
      <c r="C22" s="21" t="s">
        <v>12</v>
      </c>
      <c r="D22" s="33"/>
      <c r="E22" s="23"/>
      <c r="F22" s="24">
        <f>SUM(F20:F21)</f>
        <v>118</v>
      </c>
      <c r="G22" s="24">
        <f>SUM(G20:G21)</f>
        <v>13</v>
      </c>
      <c r="H22" s="24">
        <f>SUM(H20:H21)</f>
        <v>3</v>
      </c>
      <c r="I22" s="25">
        <f>SUM(F22:H22)</f>
        <v>134</v>
      </c>
      <c r="J22" s="24">
        <f aca="true" t="shared" si="4" ref="J22:O22">SUM(J20:J21)</f>
        <v>37</v>
      </c>
      <c r="K22" s="24">
        <f t="shared" si="4"/>
        <v>23</v>
      </c>
      <c r="L22" s="24">
        <f t="shared" si="4"/>
        <v>7</v>
      </c>
      <c r="M22" s="24">
        <f t="shared" si="4"/>
        <v>12</v>
      </c>
      <c r="N22" s="24">
        <f t="shared" si="4"/>
        <v>0</v>
      </c>
      <c r="O22" s="24">
        <f t="shared" si="4"/>
        <v>46</v>
      </c>
      <c r="P22" s="24">
        <f>SUM(J22:O22)</f>
        <v>125</v>
      </c>
      <c r="Q22" s="24">
        <f>SUM(Q20:Q21)</f>
        <v>8</v>
      </c>
      <c r="R22" s="24">
        <f>SUM(R20:R21)</f>
        <v>0</v>
      </c>
      <c r="S22" s="24">
        <f>SUM(S20:S21)</f>
        <v>0</v>
      </c>
      <c r="T22" s="24">
        <f>SUM(T20:T21)</f>
        <v>1</v>
      </c>
      <c r="U22" s="24">
        <f>SUM(U20:U21)</f>
        <v>144</v>
      </c>
      <c r="V22" s="26">
        <f>IF(I22-Q22=0,"",IF(D22="",(P22+S22)/(I22-Q22),IF(AND(D22&lt;&gt;"",(P22+S22)/(I22-Q22)&gt;=50%),(P22+S22)/(I22-Q22),"")))</f>
        <v>0.9920634920634921</v>
      </c>
      <c r="W22" s="26">
        <f>IF(I22=O22,"",IF(V22="",0,(P22+Q22+S22-O22)/(I22-O22)))</f>
        <v>0.9886363636363636</v>
      </c>
      <c r="X22" s="36"/>
      <c r="AB22" s="38"/>
    </row>
    <row r="23" spans="1:28" s="30" customFormat="1" ht="21" customHeight="1">
      <c r="A23" s="32"/>
      <c r="B23" s="130" t="s">
        <v>29</v>
      </c>
      <c r="C23" s="14" t="s">
        <v>2</v>
      </c>
      <c r="D23" s="29"/>
      <c r="E23" s="16" t="s">
        <v>27</v>
      </c>
      <c r="F23" s="15"/>
      <c r="G23" s="15"/>
      <c r="H23" s="15"/>
      <c r="I23" s="17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8"/>
      <c r="W23" s="18"/>
      <c r="AB23" s="34"/>
    </row>
    <row r="24" spans="1:28" s="30" customFormat="1" ht="18" customHeight="1">
      <c r="A24" s="32">
        <v>70</v>
      </c>
      <c r="B24" s="130"/>
      <c r="C24" s="20" t="s">
        <v>172</v>
      </c>
      <c r="D24" s="15"/>
      <c r="E24" s="16"/>
      <c r="F24" s="15">
        <f>21+47+2</f>
        <v>70</v>
      </c>
      <c r="G24" s="15">
        <v>0</v>
      </c>
      <c r="H24" s="15">
        <v>0</v>
      </c>
      <c r="I24" s="17">
        <f>SUM(F24:H24)</f>
        <v>70</v>
      </c>
      <c r="J24" s="15">
        <v>18</v>
      </c>
      <c r="K24" s="15">
        <v>3</v>
      </c>
      <c r="L24" s="15">
        <v>2</v>
      </c>
      <c r="M24" s="15">
        <v>0</v>
      </c>
      <c r="N24" s="15">
        <v>0</v>
      </c>
      <c r="O24" s="15">
        <v>47</v>
      </c>
      <c r="P24" s="15">
        <f>SUM(J24:O24)</f>
        <v>70</v>
      </c>
      <c r="Q24" s="15">
        <v>0</v>
      </c>
      <c r="R24" s="15">
        <v>0</v>
      </c>
      <c r="S24" s="15">
        <v>0</v>
      </c>
      <c r="T24" s="15">
        <v>0</v>
      </c>
      <c r="U24" s="15">
        <v>143</v>
      </c>
      <c r="V24" s="18"/>
      <c r="W24" s="18"/>
      <c r="AB24" s="34"/>
    </row>
    <row r="25" spans="1:41" s="39" customFormat="1" ht="17.25" customHeight="1">
      <c r="A25" s="32"/>
      <c r="B25" s="130"/>
      <c r="C25" s="21" t="s">
        <v>12</v>
      </c>
      <c r="D25" s="33"/>
      <c r="E25" s="23"/>
      <c r="F25" s="24">
        <f>SUM(F23:F24)</f>
        <v>70</v>
      </c>
      <c r="G25" s="24">
        <f>SUM(G23:G24)</f>
        <v>0</v>
      </c>
      <c r="H25" s="24">
        <f>SUM(H23:H24)</f>
        <v>0</v>
      </c>
      <c r="I25" s="25">
        <f>SUM(F25:H25)</f>
        <v>70</v>
      </c>
      <c r="J25" s="24">
        <f aca="true" t="shared" si="5" ref="J25:O25">SUM(J23:J24)</f>
        <v>18</v>
      </c>
      <c r="K25" s="24">
        <f t="shared" si="5"/>
        <v>3</v>
      </c>
      <c r="L25" s="24">
        <f t="shared" si="5"/>
        <v>2</v>
      </c>
      <c r="M25" s="24">
        <f t="shared" si="5"/>
        <v>0</v>
      </c>
      <c r="N25" s="24">
        <f t="shared" si="5"/>
        <v>0</v>
      </c>
      <c r="O25" s="24">
        <f t="shared" si="5"/>
        <v>47</v>
      </c>
      <c r="P25" s="24">
        <f>SUM(J25:O25)</f>
        <v>70</v>
      </c>
      <c r="Q25" s="24">
        <f>SUM(Q23:Q24)</f>
        <v>0</v>
      </c>
      <c r="R25" s="24">
        <f>SUM(R23:R24)</f>
        <v>0</v>
      </c>
      <c r="S25" s="24">
        <f>SUM(S23:S24)</f>
        <v>0</v>
      </c>
      <c r="T25" s="24">
        <f>SUM(T23:T24)</f>
        <v>0</v>
      </c>
      <c r="U25" s="24">
        <f>SUM(U23:U24)</f>
        <v>143</v>
      </c>
      <c r="V25" s="26">
        <f>IF(I25-Q25=0,"",IF(D25="",(P25+S25)/(I25-Q25),IF(AND(D25&lt;&gt;"",(P25+S25)/(I25-Q25)&gt;=50%),(P25+S25)/(I25-Q25),"")))</f>
        <v>1</v>
      </c>
      <c r="W25" s="26">
        <f>IF(I25=O25,"",IF(V25="",0,(P25+Q25+S25-O25)/(I25-O25)))</f>
        <v>1</v>
      </c>
      <c r="X25" s="30"/>
      <c r="Y25" s="30"/>
      <c r="Z25" s="30"/>
      <c r="AA25" s="30"/>
      <c r="AB25" s="34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</row>
    <row r="26" spans="1:28" s="30" customFormat="1" ht="24" customHeight="1">
      <c r="A26" s="32"/>
      <c r="B26" s="130" t="s">
        <v>31</v>
      </c>
      <c r="C26" s="14" t="s">
        <v>2</v>
      </c>
      <c r="D26" s="29" t="s">
        <v>43</v>
      </c>
      <c r="E26" s="16" t="s">
        <v>209</v>
      </c>
      <c r="F26" s="15"/>
      <c r="G26" s="15"/>
      <c r="H26" s="15"/>
      <c r="I26" s="17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8"/>
      <c r="W26" s="18"/>
      <c r="AB26" s="34"/>
    </row>
    <row r="27" spans="1:28" s="30" customFormat="1" ht="19.5" customHeight="1">
      <c r="A27" s="32">
        <v>61</v>
      </c>
      <c r="B27" s="130"/>
      <c r="C27" s="20" t="str">
        <f>IF(A27="","VARA",VLOOKUP(A27,'[1]varas'!$A$4:$B$67,2))</f>
        <v>VT Vitória</v>
      </c>
      <c r="D27" s="15"/>
      <c r="E27" s="17"/>
      <c r="F27" s="15">
        <f>45+35+5</f>
        <v>85</v>
      </c>
      <c r="G27" s="15">
        <v>3</v>
      </c>
      <c r="H27" s="15">
        <v>1</v>
      </c>
      <c r="I27" s="17">
        <f>SUM(F27:H27)</f>
        <v>89</v>
      </c>
      <c r="J27" s="15">
        <v>30</v>
      </c>
      <c r="K27" s="15">
        <v>0</v>
      </c>
      <c r="L27" s="15">
        <v>2</v>
      </c>
      <c r="M27" s="15">
        <v>3</v>
      </c>
      <c r="N27" s="15">
        <v>0</v>
      </c>
      <c r="O27" s="15">
        <v>35</v>
      </c>
      <c r="P27" s="15">
        <f>SUM(J27:O27)</f>
        <v>70</v>
      </c>
      <c r="Q27" s="15">
        <v>18</v>
      </c>
      <c r="R27" s="15">
        <v>1</v>
      </c>
      <c r="S27" s="15">
        <v>0</v>
      </c>
      <c r="T27" s="15">
        <v>0</v>
      </c>
      <c r="U27" s="15">
        <v>241</v>
      </c>
      <c r="V27" s="18"/>
      <c r="W27" s="18"/>
      <c r="AB27" s="34"/>
    </row>
    <row r="28" spans="1:28" s="30" customFormat="1" ht="19.5" customHeight="1">
      <c r="A28" s="32"/>
      <c r="B28" s="130"/>
      <c r="C28" s="21" t="s">
        <v>12</v>
      </c>
      <c r="D28" s="33"/>
      <c r="E28" s="23"/>
      <c r="F28" s="24">
        <f>SUM(F26:F27)</f>
        <v>85</v>
      </c>
      <c r="G28" s="24">
        <f>SUM(G26:G27)</f>
        <v>3</v>
      </c>
      <c r="H28" s="24">
        <f>SUM(H26:H27)</f>
        <v>1</v>
      </c>
      <c r="I28" s="25">
        <f>SUM(F28:H28)</f>
        <v>89</v>
      </c>
      <c r="J28" s="24">
        <f aca="true" t="shared" si="6" ref="J28:O28">SUM(J26:J27)</f>
        <v>30</v>
      </c>
      <c r="K28" s="24">
        <f t="shared" si="6"/>
        <v>0</v>
      </c>
      <c r="L28" s="24">
        <f t="shared" si="6"/>
        <v>2</v>
      </c>
      <c r="M28" s="24">
        <f t="shared" si="6"/>
        <v>3</v>
      </c>
      <c r="N28" s="24">
        <f t="shared" si="6"/>
        <v>0</v>
      </c>
      <c r="O28" s="24">
        <f t="shared" si="6"/>
        <v>35</v>
      </c>
      <c r="P28" s="24">
        <f>SUM(J28:O28)</f>
        <v>70</v>
      </c>
      <c r="Q28" s="24">
        <f>SUM(Q26:Q27)</f>
        <v>18</v>
      </c>
      <c r="R28" s="24">
        <f>SUM(R26:R27)</f>
        <v>1</v>
      </c>
      <c r="S28" s="24">
        <f>SUM(S26:S27)</f>
        <v>0</v>
      </c>
      <c r="T28" s="24">
        <f>SUM(T26:T27)</f>
        <v>0</v>
      </c>
      <c r="U28" s="24">
        <f>SUM(U26:U27)</f>
        <v>241</v>
      </c>
      <c r="V28" s="26">
        <f>IF(I28-Q28=0,"",IF(D28="",(P28+S28)/(I28-Q28),IF(AND(D28&lt;&gt;"",(P28+S28)/(I28-Q28)&gt;=50%),(P28+S28)/(I28-Q28),"")))</f>
        <v>0.9859154929577465</v>
      </c>
      <c r="W28" s="26">
        <f>IF(I28=O28,"",IF(V28="",0,(P28+Q28+S28-O28)/(I28-O28)))</f>
        <v>0.9814814814814815</v>
      </c>
      <c r="AB28" s="34"/>
    </row>
    <row r="29" spans="1:41" s="39" customFormat="1" ht="23.25" customHeight="1">
      <c r="A29" s="32"/>
      <c r="B29" s="131" t="s">
        <v>32</v>
      </c>
      <c r="C29" s="105" t="s">
        <v>2</v>
      </c>
      <c r="D29" s="29" t="s">
        <v>30</v>
      </c>
      <c r="E29" s="16" t="s">
        <v>193</v>
      </c>
      <c r="F29" s="15"/>
      <c r="G29" s="15"/>
      <c r="H29" s="15"/>
      <c r="I29" s="17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8"/>
      <c r="W29" s="18"/>
      <c r="X29" s="30"/>
      <c r="Y29" s="30"/>
      <c r="Z29" s="30"/>
      <c r="AA29" s="30"/>
      <c r="AB29" s="3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</row>
    <row r="30" spans="1:41" s="39" customFormat="1" ht="21.75" customHeight="1">
      <c r="A30" s="32">
        <v>16</v>
      </c>
      <c r="B30" s="132"/>
      <c r="C30" s="106" t="str">
        <f>IF(A30="","VARA",VLOOKUP(A30,'[1]varas'!$A$4:$B$67,2))</f>
        <v>16ª VT Recife</v>
      </c>
      <c r="D30" s="29"/>
      <c r="E30" s="16"/>
      <c r="F30" s="15">
        <f>53+21+7</f>
        <v>81</v>
      </c>
      <c r="G30" s="15">
        <v>10</v>
      </c>
      <c r="H30" s="15">
        <v>4</v>
      </c>
      <c r="I30" s="17">
        <f>SUM(F30:H30)</f>
        <v>95</v>
      </c>
      <c r="J30" s="15">
        <v>24</v>
      </c>
      <c r="K30" s="15">
        <v>12</v>
      </c>
      <c r="L30" s="15">
        <v>4</v>
      </c>
      <c r="M30" s="15">
        <v>3</v>
      </c>
      <c r="N30" s="15">
        <v>0</v>
      </c>
      <c r="O30" s="15">
        <v>21</v>
      </c>
      <c r="P30" s="15">
        <f>SUM(J30:O30)</f>
        <v>64</v>
      </c>
      <c r="Q30" s="15">
        <v>21</v>
      </c>
      <c r="R30" s="15">
        <v>8</v>
      </c>
      <c r="S30" s="15">
        <v>0</v>
      </c>
      <c r="T30" s="15">
        <v>2</v>
      </c>
      <c r="U30" s="15">
        <v>139</v>
      </c>
      <c r="V30" s="18"/>
      <c r="W30" s="18"/>
      <c r="X30" s="30"/>
      <c r="Y30" s="30"/>
      <c r="Z30" s="30"/>
      <c r="AA30" s="30"/>
      <c r="AB30" s="34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</row>
    <row r="31" spans="1:28" s="30" customFormat="1" ht="25.5" customHeight="1">
      <c r="A31" s="32"/>
      <c r="B31" s="133"/>
      <c r="C31" s="107" t="s">
        <v>12</v>
      </c>
      <c r="D31" s="33"/>
      <c r="E31" s="23"/>
      <c r="F31" s="24">
        <f>SUM(F29:F30)</f>
        <v>81</v>
      </c>
      <c r="G31" s="24">
        <f>SUM(G29:G30)</f>
        <v>10</v>
      </c>
      <c r="H31" s="24">
        <f>SUM(H29:H30)</f>
        <v>4</v>
      </c>
      <c r="I31" s="40">
        <f>SUM(F31:H31)</f>
        <v>95</v>
      </c>
      <c r="J31" s="24">
        <f aca="true" t="shared" si="7" ref="J31:O31">SUM(J29:J30)</f>
        <v>24</v>
      </c>
      <c r="K31" s="24">
        <f t="shared" si="7"/>
        <v>12</v>
      </c>
      <c r="L31" s="24">
        <f t="shared" si="7"/>
        <v>4</v>
      </c>
      <c r="M31" s="24">
        <f t="shared" si="7"/>
        <v>3</v>
      </c>
      <c r="N31" s="24">
        <f t="shared" si="7"/>
        <v>0</v>
      </c>
      <c r="O31" s="24">
        <f t="shared" si="7"/>
        <v>21</v>
      </c>
      <c r="P31" s="24">
        <f>SUM(J31:O31)</f>
        <v>64</v>
      </c>
      <c r="Q31" s="24">
        <f>SUM(Q29:Q30)</f>
        <v>21</v>
      </c>
      <c r="R31" s="24">
        <f>SUM(R29:R30)</f>
        <v>8</v>
      </c>
      <c r="S31" s="24">
        <f>SUM(S29:S30)</f>
        <v>0</v>
      </c>
      <c r="T31" s="24">
        <f>SUM(T29:T30)</f>
        <v>2</v>
      </c>
      <c r="U31" s="24">
        <f>SUM(U29:U30)</f>
        <v>139</v>
      </c>
      <c r="V31" s="26">
        <f>IF(I31-Q31=0,"",IF(D31="",(P31+S31)/(I31-Q31),IF(AND(D31&lt;&gt;"",(P31+S31)/(I31-Q31)&gt;=50%),(P31+S31)/(I31-Q31),"")))</f>
        <v>0.8648648648648649</v>
      </c>
      <c r="W31" s="26">
        <f>IF(I31=O31,"",IF(V31="",0,(P31+Q31+S31-O31)/(I31-O31)))</f>
        <v>0.8648648648648649</v>
      </c>
      <c r="AB31" s="34"/>
    </row>
    <row r="32" spans="1:28" s="30" customFormat="1" ht="23.25" customHeight="1">
      <c r="A32" s="32"/>
      <c r="B32" s="131" t="s">
        <v>33</v>
      </c>
      <c r="C32" s="105" t="s">
        <v>2</v>
      </c>
      <c r="D32" s="15"/>
      <c r="E32" s="17" t="s">
        <v>27</v>
      </c>
      <c r="F32" s="15"/>
      <c r="G32" s="15"/>
      <c r="H32" s="15"/>
      <c r="I32" s="17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8"/>
      <c r="W32" s="18"/>
      <c r="AB32" s="34"/>
    </row>
    <row r="33" spans="1:28" s="30" customFormat="1" ht="19.5" customHeight="1">
      <c r="A33" s="32">
        <v>37</v>
      </c>
      <c r="B33" s="132"/>
      <c r="C33" s="106" t="str">
        <f>IF(A33="","VARA",VLOOKUP(A33,'[1]varas'!$A$4:$B$67,2))</f>
        <v>4ª VT Jaboatão</v>
      </c>
      <c r="D33" s="15"/>
      <c r="E33" s="17"/>
      <c r="F33" s="15">
        <f>56+48+12+3</f>
        <v>119</v>
      </c>
      <c r="G33" s="15">
        <v>12</v>
      </c>
      <c r="H33" s="15">
        <v>1</v>
      </c>
      <c r="I33" s="17">
        <f>SUM(F33:H33)</f>
        <v>132</v>
      </c>
      <c r="J33" s="15">
        <v>27</v>
      </c>
      <c r="K33" s="15">
        <v>19</v>
      </c>
      <c r="L33" s="15">
        <v>12</v>
      </c>
      <c r="M33" s="15">
        <v>3</v>
      </c>
      <c r="N33" s="15">
        <v>0</v>
      </c>
      <c r="O33" s="15">
        <v>48</v>
      </c>
      <c r="P33" s="15">
        <f>SUM(J33:O33)</f>
        <v>109</v>
      </c>
      <c r="Q33" s="15">
        <v>16</v>
      </c>
      <c r="R33" s="15">
        <v>7</v>
      </c>
      <c r="S33" s="15">
        <v>0</v>
      </c>
      <c r="T33" s="15">
        <v>0</v>
      </c>
      <c r="U33" s="15">
        <v>183</v>
      </c>
      <c r="V33" s="18"/>
      <c r="W33" s="18"/>
      <c r="AB33" s="34"/>
    </row>
    <row r="34" spans="1:28" s="30" customFormat="1" ht="17.25" customHeight="1">
      <c r="A34" s="32"/>
      <c r="B34" s="133"/>
      <c r="C34" s="107" t="s">
        <v>12</v>
      </c>
      <c r="D34" s="33"/>
      <c r="E34" s="23"/>
      <c r="F34" s="24">
        <f>SUM(F32:F33)</f>
        <v>119</v>
      </c>
      <c r="G34" s="24">
        <f>SUM(G32:G33)</f>
        <v>12</v>
      </c>
      <c r="H34" s="24">
        <f>SUM(H32:H33)</f>
        <v>1</v>
      </c>
      <c r="I34" s="25">
        <f>SUM(F34:H34)</f>
        <v>132</v>
      </c>
      <c r="J34" s="24">
        <f aca="true" t="shared" si="8" ref="J34:O34">SUM(J32:J33)</f>
        <v>27</v>
      </c>
      <c r="K34" s="24">
        <f t="shared" si="8"/>
        <v>19</v>
      </c>
      <c r="L34" s="24">
        <f t="shared" si="8"/>
        <v>12</v>
      </c>
      <c r="M34" s="24">
        <f t="shared" si="8"/>
        <v>3</v>
      </c>
      <c r="N34" s="24">
        <f t="shared" si="8"/>
        <v>0</v>
      </c>
      <c r="O34" s="24">
        <f t="shared" si="8"/>
        <v>48</v>
      </c>
      <c r="P34" s="24">
        <f>SUM(J34:O34)</f>
        <v>109</v>
      </c>
      <c r="Q34" s="24">
        <f>SUM(Q32:Q33)</f>
        <v>16</v>
      </c>
      <c r="R34" s="24">
        <f>SUM(R32:R33)</f>
        <v>7</v>
      </c>
      <c r="S34" s="24">
        <f>SUM(S32:S33)</f>
        <v>0</v>
      </c>
      <c r="T34" s="24">
        <f>SUM(T32:T33)</f>
        <v>0</v>
      </c>
      <c r="U34" s="24">
        <f>SUM(U32:U33)</f>
        <v>183</v>
      </c>
      <c r="V34" s="26">
        <f>IF(I34-Q34=0,"",IF(D34="",(P34+S34)/(I34-Q34),IF(AND(D34&lt;&gt;"",(P34+S34)/(I34-Q34)&gt;=50%),(P34+S34)/(I34-Q34),"")))</f>
        <v>0.9396551724137931</v>
      </c>
      <c r="W34" s="26">
        <f>IF(I34=O34,"",IF(V34="",0,(P34+Q34+S34-O34)/(I34-O34)))</f>
        <v>0.9166666666666666</v>
      </c>
      <c r="AB34" s="34"/>
    </row>
    <row r="35" spans="1:28" s="30" customFormat="1" ht="23.25" customHeight="1">
      <c r="A35" s="32"/>
      <c r="B35" s="131" t="s">
        <v>34</v>
      </c>
      <c r="C35" s="105" t="s">
        <v>2</v>
      </c>
      <c r="D35" s="29"/>
      <c r="E35" s="41" t="s">
        <v>27</v>
      </c>
      <c r="F35" s="15"/>
      <c r="G35" s="15"/>
      <c r="H35" s="15"/>
      <c r="I35" s="17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8"/>
      <c r="W35" s="18"/>
      <c r="AB35" s="34"/>
    </row>
    <row r="36" spans="1:28" s="30" customFormat="1" ht="23.25" customHeight="1">
      <c r="A36" s="32">
        <v>60</v>
      </c>
      <c r="B36" s="134"/>
      <c r="C36" s="106" t="str">
        <f>IF(A36="","VARA",VLOOKUP(A36,'[1]varas'!$A$4:$B$67,2))</f>
        <v>VT Timbaúba</v>
      </c>
      <c r="D36" s="15"/>
      <c r="E36" s="41"/>
      <c r="F36" s="15">
        <v>14</v>
      </c>
      <c r="G36" s="15">
        <v>0</v>
      </c>
      <c r="H36" s="15">
        <v>0</v>
      </c>
      <c r="I36" s="17">
        <f>SUM(F36:H36)</f>
        <v>14</v>
      </c>
      <c r="J36" s="15">
        <v>3</v>
      </c>
      <c r="K36" s="15">
        <v>1</v>
      </c>
      <c r="L36" s="15">
        <v>0</v>
      </c>
      <c r="M36" s="15">
        <v>0</v>
      </c>
      <c r="N36" s="15">
        <v>0</v>
      </c>
      <c r="O36" s="15">
        <v>4</v>
      </c>
      <c r="P36" s="15">
        <f>SUM(J36:O36)</f>
        <v>8</v>
      </c>
      <c r="Q36" s="15">
        <v>6</v>
      </c>
      <c r="R36" s="15">
        <v>0</v>
      </c>
      <c r="S36" s="15">
        <v>0</v>
      </c>
      <c r="T36" s="15">
        <v>0</v>
      </c>
      <c r="U36" s="15">
        <v>29</v>
      </c>
      <c r="V36" s="18"/>
      <c r="W36" s="18"/>
      <c r="AB36" s="34"/>
    </row>
    <row r="37" spans="1:28" s="30" customFormat="1" ht="17.25" customHeight="1">
      <c r="A37" s="32">
        <v>53</v>
      </c>
      <c r="B37" s="132"/>
      <c r="C37" s="106" t="str">
        <f>IF(A37="","VARA",VLOOKUP(A37,'[1]varas'!$A$4:$B$67,2))</f>
        <v>VT Nazaré</v>
      </c>
      <c r="D37" s="15"/>
      <c r="E37" s="41"/>
      <c r="F37" s="15">
        <f>53+56</f>
        <v>109</v>
      </c>
      <c r="G37" s="15">
        <v>6</v>
      </c>
      <c r="H37" s="15">
        <v>0</v>
      </c>
      <c r="I37" s="17">
        <f>SUM(F37:H37)</f>
        <v>115</v>
      </c>
      <c r="J37" s="15">
        <v>18</v>
      </c>
      <c r="K37" s="15">
        <v>37</v>
      </c>
      <c r="L37" s="15">
        <v>1</v>
      </c>
      <c r="M37" s="15">
        <v>0</v>
      </c>
      <c r="N37" s="15">
        <v>0</v>
      </c>
      <c r="O37" s="15">
        <v>55</v>
      </c>
      <c r="P37" s="15">
        <f>SUM(J37:O37)</f>
        <v>111</v>
      </c>
      <c r="Q37" s="15">
        <v>4</v>
      </c>
      <c r="R37" s="15">
        <v>0</v>
      </c>
      <c r="S37" s="15">
        <v>0</v>
      </c>
      <c r="T37" s="15">
        <v>0</v>
      </c>
      <c r="U37" s="15">
        <v>255</v>
      </c>
      <c r="V37" s="18"/>
      <c r="W37" s="18"/>
      <c r="AB37" s="34"/>
    </row>
    <row r="38" spans="1:28" s="30" customFormat="1" ht="17.25" customHeight="1">
      <c r="A38" s="32"/>
      <c r="B38" s="133"/>
      <c r="C38" s="106" t="s">
        <v>12</v>
      </c>
      <c r="D38" s="33"/>
      <c r="E38" s="23"/>
      <c r="F38" s="24">
        <f>SUM(F35:F37)</f>
        <v>123</v>
      </c>
      <c r="G38" s="24">
        <f>SUM(G35:G37)</f>
        <v>6</v>
      </c>
      <c r="H38" s="24">
        <f>SUM(H35:H37)</f>
        <v>0</v>
      </c>
      <c r="I38" s="40">
        <f>SUM(F38:H38)</f>
        <v>129</v>
      </c>
      <c r="J38" s="24">
        <f aca="true" t="shared" si="9" ref="J38:O38">SUM(J35:J37)</f>
        <v>21</v>
      </c>
      <c r="K38" s="24">
        <f t="shared" si="9"/>
        <v>38</v>
      </c>
      <c r="L38" s="24">
        <f t="shared" si="9"/>
        <v>1</v>
      </c>
      <c r="M38" s="24">
        <f t="shared" si="9"/>
        <v>0</v>
      </c>
      <c r="N38" s="24">
        <f t="shared" si="9"/>
        <v>0</v>
      </c>
      <c r="O38" s="24">
        <f t="shared" si="9"/>
        <v>59</v>
      </c>
      <c r="P38" s="24">
        <f>SUM(J38:O38)</f>
        <v>119</v>
      </c>
      <c r="Q38" s="24">
        <f>SUM(Q35:Q37)</f>
        <v>10</v>
      </c>
      <c r="R38" s="24">
        <f>SUM(R35:R37)</f>
        <v>0</v>
      </c>
      <c r="S38" s="24">
        <f>SUM(S35:S37)</f>
        <v>0</v>
      </c>
      <c r="T38" s="24">
        <f>SUM(T35:T37)</f>
        <v>0</v>
      </c>
      <c r="U38" s="24">
        <f>SUM(U35:U37)</f>
        <v>284</v>
      </c>
      <c r="V38" s="26">
        <f>IF(I38-Q38=0,"",IF(D38="",(P38+S38)/(I38-Q38),IF(AND(D38&lt;&gt;"",(P38+S38)/(I38-Q38)&gt;=50%),(P38+S38)/(I38-Q38),"")))</f>
        <v>1</v>
      </c>
      <c r="W38" s="26">
        <f>IF(I38=O38,"",IF(V38="",0,(P38+Q38+S38-O38)/(I38-O38)))</f>
        <v>1</v>
      </c>
      <c r="AB38" s="34"/>
    </row>
    <row r="39" spans="1:28" s="30" customFormat="1" ht="21" customHeight="1">
      <c r="A39" s="32"/>
      <c r="B39" s="135" t="s">
        <v>166</v>
      </c>
      <c r="C39" s="14" t="s">
        <v>2</v>
      </c>
      <c r="D39" s="42"/>
      <c r="E39" s="16" t="s">
        <v>27</v>
      </c>
      <c r="F39" s="15"/>
      <c r="G39" s="15"/>
      <c r="H39" s="15"/>
      <c r="I39" s="17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8"/>
      <c r="W39" s="18"/>
      <c r="AB39" s="34"/>
    </row>
    <row r="40" spans="1:28" s="30" customFormat="1" ht="18" customHeight="1">
      <c r="A40" s="32">
        <v>38</v>
      </c>
      <c r="B40" s="130"/>
      <c r="C40" s="20" t="str">
        <f>IF(A40="","VARA",VLOOKUP(A40,'[1]varas'!$A$4:$B$67,2))</f>
        <v>1ª VT Olinda</v>
      </c>
      <c r="D40" s="43"/>
      <c r="E40" s="16"/>
      <c r="F40" s="15">
        <f>55+11+15+5</f>
        <v>86</v>
      </c>
      <c r="G40" s="15">
        <v>0</v>
      </c>
      <c r="H40" s="15">
        <v>21</v>
      </c>
      <c r="I40" s="17">
        <f>SUM(F40:H40)</f>
        <v>107</v>
      </c>
      <c r="J40" s="15">
        <v>25</v>
      </c>
      <c r="K40" s="15">
        <v>1</v>
      </c>
      <c r="L40" s="15">
        <v>15</v>
      </c>
      <c r="M40" s="15">
        <v>5</v>
      </c>
      <c r="N40" s="15">
        <v>0</v>
      </c>
      <c r="O40" s="15">
        <v>11</v>
      </c>
      <c r="P40" s="15">
        <f>SUM(J40:O40)</f>
        <v>57</v>
      </c>
      <c r="Q40" s="15">
        <v>0</v>
      </c>
      <c r="R40" s="15">
        <v>50</v>
      </c>
      <c r="S40" s="15">
        <v>0</v>
      </c>
      <c r="T40" s="15">
        <v>0</v>
      </c>
      <c r="U40" s="15">
        <v>206</v>
      </c>
      <c r="V40" s="18"/>
      <c r="W40" s="18"/>
      <c r="AB40" s="34"/>
    </row>
    <row r="41" spans="1:41" s="39" customFormat="1" ht="19.5" customHeight="1">
      <c r="A41" s="32"/>
      <c r="B41" s="130"/>
      <c r="C41" s="21" t="s">
        <v>12</v>
      </c>
      <c r="D41" s="33"/>
      <c r="E41" s="23"/>
      <c r="F41" s="24">
        <f>SUM(F39:F40)</f>
        <v>86</v>
      </c>
      <c r="G41" s="24">
        <f>SUM(G39:G40)</f>
        <v>0</v>
      </c>
      <c r="H41" s="24">
        <f>SUM(H39:H40)</f>
        <v>21</v>
      </c>
      <c r="I41" s="25">
        <f>SUM(F41:H41)</f>
        <v>107</v>
      </c>
      <c r="J41" s="24">
        <f aca="true" t="shared" si="10" ref="J41:O41">SUM(J39:J40)</f>
        <v>25</v>
      </c>
      <c r="K41" s="24">
        <f t="shared" si="10"/>
        <v>1</v>
      </c>
      <c r="L41" s="24">
        <f t="shared" si="10"/>
        <v>15</v>
      </c>
      <c r="M41" s="24">
        <f t="shared" si="10"/>
        <v>5</v>
      </c>
      <c r="N41" s="24">
        <f t="shared" si="10"/>
        <v>0</v>
      </c>
      <c r="O41" s="24">
        <f t="shared" si="10"/>
        <v>11</v>
      </c>
      <c r="P41" s="24">
        <f>SUM(J41:O41)</f>
        <v>57</v>
      </c>
      <c r="Q41" s="24">
        <f>SUM(Q39:Q40)</f>
        <v>0</v>
      </c>
      <c r="R41" s="24">
        <f>SUM(R39:R40)</f>
        <v>50</v>
      </c>
      <c r="S41" s="24">
        <f>SUM(S39:S40)</f>
        <v>0</v>
      </c>
      <c r="T41" s="24">
        <f>SUM(T39:T40)</f>
        <v>0</v>
      </c>
      <c r="U41" s="24">
        <f>SUM(U39:U40)</f>
        <v>206</v>
      </c>
      <c r="V41" s="26">
        <f>IF(I41-Q41=0,"",IF(D41="",(P41+S41)/(I41-Q41),IF(AND(D41&lt;&gt;"",(P41+S41)/(I41-Q41)&gt;=50%),(P41+S41)/(I41-Q41),"")))</f>
        <v>0.5327102803738317</v>
      </c>
      <c r="W41" s="26">
        <f>IF(I41=O41,"",IF(V41="",0,(P41+Q41+S41-O41)/(I41-O41)))</f>
        <v>0.4791666666666667</v>
      </c>
      <c r="X41" s="30"/>
      <c r="Y41" s="30"/>
      <c r="Z41" s="30"/>
      <c r="AA41" s="30"/>
      <c r="AB41" s="34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</row>
    <row r="42" spans="1:28" s="30" customFormat="1" ht="23.25" customHeight="1">
      <c r="A42" s="32"/>
      <c r="B42" s="130" t="s">
        <v>35</v>
      </c>
      <c r="C42" s="14" t="s">
        <v>2</v>
      </c>
      <c r="D42" s="29"/>
      <c r="E42" s="16" t="s">
        <v>27</v>
      </c>
      <c r="F42" s="15"/>
      <c r="G42" s="15"/>
      <c r="H42" s="15"/>
      <c r="I42" s="17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8"/>
      <c r="W42" s="18"/>
      <c r="AB42" s="34"/>
    </row>
    <row r="43" spans="1:28" s="30" customFormat="1" ht="19.5" customHeight="1">
      <c r="A43" s="32">
        <v>10</v>
      </c>
      <c r="B43" s="130"/>
      <c r="C43" s="20" t="str">
        <f>IF(A43="","VARA",VLOOKUP(A43,'[1]varas'!$A$4:$B$67,2))</f>
        <v>10ª VT Recife</v>
      </c>
      <c r="D43" s="15"/>
      <c r="E43" s="17"/>
      <c r="F43" s="15">
        <f>29+27+11</f>
        <v>67</v>
      </c>
      <c r="G43" s="15">
        <v>0</v>
      </c>
      <c r="H43" s="15">
        <v>21</v>
      </c>
      <c r="I43" s="17">
        <f>SUM(F43:H43)</f>
        <v>88</v>
      </c>
      <c r="J43" s="15">
        <v>17</v>
      </c>
      <c r="K43" s="15">
        <v>10</v>
      </c>
      <c r="L43" s="15">
        <v>11</v>
      </c>
      <c r="M43" s="15">
        <v>0</v>
      </c>
      <c r="N43" s="15">
        <v>0</v>
      </c>
      <c r="O43" s="15">
        <v>27</v>
      </c>
      <c r="P43" s="15">
        <f>SUM(J43:O43)</f>
        <v>65</v>
      </c>
      <c r="Q43" s="15">
        <v>0</v>
      </c>
      <c r="R43" s="15">
        <v>23</v>
      </c>
      <c r="S43" s="15">
        <v>0</v>
      </c>
      <c r="T43" s="15">
        <v>0</v>
      </c>
      <c r="U43" s="15">
        <v>126</v>
      </c>
      <c r="V43" s="18"/>
      <c r="W43" s="18"/>
      <c r="AB43" s="34"/>
    </row>
    <row r="44" spans="1:28" s="30" customFormat="1" ht="21.75" customHeight="1">
      <c r="A44" s="32"/>
      <c r="B44" s="130"/>
      <c r="C44" s="21" t="s">
        <v>12</v>
      </c>
      <c r="D44" s="33"/>
      <c r="E44" s="23"/>
      <c r="F44" s="24">
        <f>SUM(F42:F43)</f>
        <v>67</v>
      </c>
      <c r="G44" s="24">
        <f>SUM(G42:G43)</f>
        <v>0</v>
      </c>
      <c r="H44" s="24">
        <f>SUM(H42:H43)</f>
        <v>21</v>
      </c>
      <c r="I44" s="25">
        <f>SUM(F44:H44)</f>
        <v>88</v>
      </c>
      <c r="J44" s="24">
        <f aca="true" t="shared" si="11" ref="J44:O44">SUM(J42:J43)</f>
        <v>17</v>
      </c>
      <c r="K44" s="24">
        <f t="shared" si="11"/>
        <v>10</v>
      </c>
      <c r="L44" s="24">
        <f t="shared" si="11"/>
        <v>11</v>
      </c>
      <c r="M44" s="24">
        <f t="shared" si="11"/>
        <v>0</v>
      </c>
      <c r="N44" s="24">
        <f t="shared" si="11"/>
        <v>0</v>
      </c>
      <c r="O44" s="24">
        <f t="shared" si="11"/>
        <v>27</v>
      </c>
      <c r="P44" s="24">
        <f>SUM(J44:O44)</f>
        <v>65</v>
      </c>
      <c r="Q44" s="24">
        <f>SUM(Q42:Q43)</f>
        <v>0</v>
      </c>
      <c r="R44" s="24">
        <f>SUM(R42:R43)</f>
        <v>23</v>
      </c>
      <c r="S44" s="24">
        <f>SUM(S42:S43)</f>
        <v>0</v>
      </c>
      <c r="T44" s="24">
        <f>SUM(T42:T43)</f>
        <v>0</v>
      </c>
      <c r="U44" s="24">
        <f>SUM(U42:U43)</f>
        <v>126</v>
      </c>
      <c r="V44" s="26">
        <f>IF(I44-Q44=0,"",IF(D44="",(P44+S44)/(I44-Q44),IF(AND(D44&lt;&gt;"",(P44+S44)/(I44-Q44)&gt;=50%),(P44+S44)/(I44-Q44),"")))</f>
        <v>0.7386363636363636</v>
      </c>
      <c r="W44" s="26">
        <f>IF(I44=O44,"",IF(V44="",0,(P44+Q44+S44-O44)/(I44-O44)))</f>
        <v>0.6229508196721312</v>
      </c>
      <c r="AB44" s="34"/>
    </row>
    <row r="45" spans="1:41" s="39" customFormat="1" ht="21" customHeight="1">
      <c r="A45" s="32"/>
      <c r="B45" s="130" t="s">
        <v>36</v>
      </c>
      <c r="C45" s="14" t="s">
        <v>2</v>
      </c>
      <c r="D45" s="29" t="s">
        <v>30</v>
      </c>
      <c r="E45" s="16" t="s">
        <v>194</v>
      </c>
      <c r="F45" s="15"/>
      <c r="G45" s="15"/>
      <c r="H45" s="15"/>
      <c r="I45" s="17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8"/>
      <c r="W45" s="18"/>
      <c r="X45" s="30"/>
      <c r="Y45" s="30"/>
      <c r="Z45" s="30"/>
      <c r="AA45" s="30"/>
      <c r="AB45" s="34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</row>
    <row r="46" spans="1:41" s="39" customFormat="1" ht="18.75" customHeight="1">
      <c r="A46" s="32">
        <v>11</v>
      </c>
      <c r="B46" s="130"/>
      <c r="C46" s="20" t="str">
        <f>IF(A46="","VARA",VLOOKUP(A46,'[1]varas'!$A$4:$B$67,2))</f>
        <v>11ª VT Recife</v>
      </c>
      <c r="D46" s="15"/>
      <c r="E46" s="16"/>
      <c r="F46" s="15">
        <f>30+24+9+5</f>
        <v>68</v>
      </c>
      <c r="G46" s="15">
        <v>17</v>
      </c>
      <c r="H46" s="15">
        <v>5</v>
      </c>
      <c r="I46" s="17">
        <f>SUM(F46:H46)</f>
        <v>90</v>
      </c>
      <c r="J46" s="15">
        <v>23</v>
      </c>
      <c r="K46" s="15">
        <v>12</v>
      </c>
      <c r="L46" s="15">
        <v>9</v>
      </c>
      <c r="M46" s="15">
        <v>3</v>
      </c>
      <c r="N46" s="15">
        <v>2</v>
      </c>
      <c r="O46" s="15">
        <v>24</v>
      </c>
      <c r="P46" s="15">
        <f>SUM(J46:O46)</f>
        <v>73</v>
      </c>
      <c r="Q46" s="15">
        <v>17</v>
      </c>
      <c r="R46" s="15">
        <v>0</v>
      </c>
      <c r="S46" s="15">
        <v>0</v>
      </c>
      <c r="T46" s="15">
        <v>0</v>
      </c>
      <c r="U46" s="15">
        <v>94</v>
      </c>
      <c r="V46" s="18"/>
      <c r="W46" s="18"/>
      <c r="X46" s="30"/>
      <c r="Y46" s="30"/>
      <c r="Z46" s="30"/>
      <c r="AA46" s="30"/>
      <c r="AB46" s="34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</row>
    <row r="47" spans="1:28" s="30" customFormat="1" ht="18.75" customHeight="1">
      <c r="A47" s="32"/>
      <c r="B47" s="130"/>
      <c r="C47" s="21" t="s">
        <v>12</v>
      </c>
      <c r="D47" s="33"/>
      <c r="E47" s="23"/>
      <c r="F47" s="24">
        <f>SUM(F45:F46)</f>
        <v>68</v>
      </c>
      <c r="G47" s="24">
        <f>SUM(G45:G46)</f>
        <v>17</v>
      </c>
      <c r="H47" s="24">
        <f>SUM(H45:H46)</f>
        <v>5</v>
      </c>
      <c r="I47" s="25">
        <f>SUM(F47:H47)</f>
        <v>90</v>
      </c>
      <c r="J47" s="24">
        <f aca="true" t="shared" si="12" ref="J47:O47">SUM(J45:J46)</f>
        <v>23</v>
      </c>
      <c r="K47" s="24">
        <f t="shared" si="12"/>
        <v>12</v>
      </c>
      <c r="L47" s="24">
        <f t="shared" si="12"/>
        <v>9</v>
      </c>
      <c r="M47" s="24">
        <f t="shared" si="12"/>
        <v>3</v>
      </c>
      <c r="N47" s="24">
        <f t="shared" si="12"/>
        <v>2</v>
      </c>
      <c r="O47" s="24">
        <f t="shared" si="12"/>
        <v>24</v>
      </c>
      <c r="P47" s="24">
        <f>SUM(J47:O47)</f>
        <v>73</v>
      </c>
      <c r="Q47" s="24">
        <f>SUM(Q45:Q46)</f>
        <v>17</v>
      </c>
      <c r="R47" s="24">
        <f>SUM(R45:R46)</f>
        <v>0</v>
      </c>
      <c r="S47" s="24">
        <f>SUM(S45:S46)</f>
        <v>0</v>
      </c>
      <c r="T47" s="24">
        <f>SUM(T45:T46)</f>
        <v>0</v>
      </c>
      <c r="U47" s="24">
        <f>SUM(U45:U46)</f>
        <v>94</v>
      </c>
      <c r="V47" s="26">
        <f>IF(I47-Q47=0,"",IF(D47="",(P47+S47)/(I47-Q47),IF(AND(D47&lt;&gt;"",(P47+S47)/(I47-Q47)&gt;=50%),(P47+S47)/(I47-Q47),"")))</f>
        <v>1</v>
      </c>
      <c r="W47" s="26">
        <f>IF(I47=O47,"",IF(V47="",0,(P47+Q47+S47-O47)/(I47-O47)))</f>
        <v>1</v>
      </c>
      <c r="AB47" s="34"/>
    </row>
    <row r="48" spans="1:28" s="30" customFormat="1" ht="20.25" customHeight="1">
      <c r="A48" s="32"/>
      <c r="B48" s="130" t="s">
        <v>37</v>
      </c>
      <c r="C48" s="14" t="s">
        <v>2</v>
      </c>
      <c r="D48" s="29" t="s">
        <v>30</v>
      </c>
      <c r="E48" s="16" t="s">
        <v>210</v>
      </c>
      <c r="F48" s="15"/>
      <c r="G48" s="15"/>
      <c r="H48" s="15"/>
      <c r="I48" s="17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8"/>
      <c r="W48" s="18"/>
      <c r="AB48" s="34"/>
    </row>
    <row r="49" spans="1:28" s="30" customFormat="1" ht="18" customHeight="1">
      <c r="A49" s="32">
        <v>54</v>
      </c>
      <c r="B49" s="130"/>
      <c r="C49" s="20" t="str">
        <f>IF(A49="","VARA",VLOOKUP(A49,'[1]varas'!$A$4:$B$67,2))</f>
        <v>1ª VT Palmares</v>
      </c>
      <c r="D49" s="15"/>
      <c r="E49" s="16"/>
      <c r="F49" s="15">
        <v>26</v>
      </c>
      <c r="G49" s="15">
        <v>5</v>
      </c>
      <c r="H49" s="15">
        <v>0</v>
      </c>
      <c r="I49" s="17">
        <f>SUM(F49:H49)</f>
        <v>31</v>
      </c>
      <c r="J49" s="15">
        <v>24</v>
      </c>
      <c r="K49" s="15">
        <v>4</v>
      </c>
      <c r="L49" s="15">
        <v>2</v>
      </c>
      <c r="M49" s="15">
        <v>1</v>
      </c>
      <c r="N49" s="15">
        <v>0</v>
      </c>
      <c r="O49" s="15">
        <v>0</v>
      </c>
      <c r="P49" s="15">
        <f>SUM(J49:O49)</f>
        <v>31</v>
      </c>
      <c r="Q49" s="15">
        <v>0</v>
      </c>
      <c r="R49" s="15">
        <v>0</v>
      </c>
      <c r="S49" s="15">
        <v>0</v>
      </c>
      <c r="T49" s="15">
        <v>0</v>
      </c>
      <c r="U49" s="15">
        <v>40</v>
      </c>
      <c r="V49" s="18"/>
      <c r="W49" s="18"/>
      <c r="AB49" s="34"/>
    </row>
    <row r="50" spans="1:28" s="30" customFormat="1" ht="21" customHeight="1">
      <c r="A50" s="32"/>
      <c r="B50" s="130"/>
      <c r="C50" s="21" t="s">
        <v>12</v>
      </c>
      <c r="D50" s="33"/>
      <c r="E50" s="23"/>
      <c r="F50" s="24">
        <f>SUM(F48:F49)</f>
        <v>26</v>
      </c>
      <c r="G50" s="24">
        <f>SUM(G48:G49)</f>
        <v>5</v>
      </c>
      <c r="H50" s="24">
        <f>SUM(H48:H49)</f>
        <v>0</v>
      </c>
      <c r="I50" s="40">
        <f>SUM(F50:H50)</f>
        <v>31</v>
      </c>
      <c r="J50" s="24">
        <f aca="true" t="shared" si="13" ref="J50:O50">SUM(J48:J49)</f>
        <v>24</v>
      </c>
      <c r="K50" s="24">
        <f t="shared" si="13"/>
        <v>4</v>
      </c>
      <c r="L50" s="24">
        <f t="shared" si="13"/>
        <v>2</v>
      </c>
      <c r="M50" s="24">
        <f t="shared" si="13"/>
        <v>1</v>
      </c>
      <c r="N50" s="24">
        <f t="shared" si="13"/>
        <v>0</v>
      </c>
      <c r="O50" s="24">
        <f t="shared" si="13"/>
        <v>0</v>
      </c>
      <c r="P50" s="24">
        <f>SUM(J50:O50)</f>
        <v>31</v>
      </c>
      <c r="Q50" s="24">
        <f>SUM(Q48:Q49)</f>
        <v>0</v>
      </c>
      <c r="R50" s="24">
        <f>SUM(R48:R49)</f>
        <v>0</v>
      </c>
      <c r="S50" s="24">
        <f>SUM(S48:S49)</f>
        <v>0</v>
      </c>
      <c r="T50" s="24">
        <f>SUM(T48:T49)</f>
        <v>0</v>
      </c>
      <c r="U50" s="24">
        <f>SUM(U48:U49)</f>
        <v>40</v>
      </c>
      <c r="V50" s="26">
        <f>IF(I50-Q50=0,"",IF(D50="",(P50+S50)/(I50-Q50),IF(AND(D50&lt;&gt;"",(P50+S50)/(I50-Q50)&gt;=50%),(P50+S50)/(I50-Q50),"")))</f>
        <v>1</v>
      </c>
      <c r="W50" s="26">
        <f>IF(I50=O50,"",IF(V50="",0,(P50+Q50+S50-O50)/(I50-O50)))</f>
        <v>1</v>
      </c>
      <c r="AB50" s="34"/>
    </row>
    <row r="51" spans="1:28" s="30" customFormat="1" ht="23.25" customHeight="1">
      <c r="A51" s="32"/>
      <c r="B51" s="130" t="s">
        <v>38</v>
      </c>
      <c r="C51" s="14" t="s">
        <v>2</v>
      </c>
      <c r="D51" s="29" t="s">
        <v>161</v>
      </c>
      <c r="E51" s="16" t="s">
        <v>169</v>
      </c>
      <c r="F51" s="15"/>
      <c r="G51" s="15"/>
      <c r="H51" s="15"/>
      <c r="I51" s="17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8"/>
      <c r="W51" s="18"/>
      <c r="AB51" s="34"/>
    </row>
    <row r="52" spans="1:28" s="30" customFormat="1" ht="19.5" customHeight="1">
      <c r="A52" s="32">
        <v>11</v>
      </c>
      <c r="B52" s="130"/>
      <c r="C52" s="20" t="str">
        <f>IF(A52="","VARA",VLOOKUP(A52,'[1]varas'!$A$4:$B$67,2))</f>
        <v>11ª VT Recife</v>
      </c>
      <c r="D52" s="15"/>
      <c r="E52" s="16"/>
      <c r="F52" s="15">
        <v>0</v>
      </c>
      <c r="G52" s="15">
        <v>0</v>
      </c>
      <c r="H52" s="15">
        <v>0</v>
      </c>
      <c r="I52" s="17">
        <f>SUM(F52:H52)</f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f>SUM(J52:O52)</f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8"/>
      <c r="W52" s="18"/>
      <c r="AB52" s="34"/>
    </row>
    <row r="53" spans="1:28" s="45" customFormat="1" ht="18" customHeight="1">
      <c r="A53" s="44"/>
      <c r="B53" s="130"/>
      <c r="C53" s="21" t="s">
        <v>12</v>
      </c>
      <c r="D53" s="33"/>
      <c r="E53" s="23"/>
      <c r="F53" s="24">
        <f>SUM(F51:F52)</f>
        <v>0</v>
      </c>
      <c r="G53" s="24">
        <f>SUM(G51:G52)</f>
        <v>0</v>
      </c>
      <c r="H53" s="24">
        <f>SUM(H51:H52)</f>
        <v>0</v>
      </c>
      <c r="I53" s="40">
        <f>SUM(F53:H53)</f>
        <v>0</v>
      </c>
      <c r="J53" s="24">
        <f aca="true" t="shared" si="14" ref="J53:O53">SUM(J51:J52)</f>
        <v>0</v>
      </c>
      <c r="K53" s="24">
        <f t="shared" si="14"/>
        <v>0</v>
      </c>
      <c r="L53" s="24">
        <f t="shared" si="14"/>
        <v>0</v>
      </c>
      <c r="M53" s="24">
        <f t="shared" si="14"/>
        <v>0</v>
      </c>
      <c r="N53" s="24">
        <f t="shared" si="14"/>
        <v>0</v>
      </c>
      <c r="O53" s="24">
        <f t="shared" si="14"/>
        <v>0</v>
      </c>
      <c r="P53" s="24">
        <f>SUM(J53:O53)</f>
        <v>0</v>
      </c>
      <c r="Q53" s="24">
        <f>SUM(Q51:Q52)</f>
        <v>0</v>
      </c>
      <c r="R53" s="24">
        <f>SUM(R51:R52)</f>
        <v>0</v>
      </c>
      <c r="S53" s="24">
        <f>SUM(S51:S52)</f>
        <v>0</v>
      </c>
      <c r="T53" s="24">
        <f>SUM(T51:T52)</f>
        <v>0</v>
      </c>
      <c r="U53" s="24">
        <f>SUM(U51:U52)</f>
        <v>0</v>
      </c>
      <c r="V53" s="26">
        <f>IF(I53-Q53=0,"",IF(D53="",(P53+S53)/(I53-Q53),IF(AND(D53&lt;&gt;"",(P53+S53)/(I53-Q53)&gt;=50%),(P53+S53)/(I53-Q53),"")))</f>
      </c>
      <c r="W53" s="26">
        <f>IF(I53=O53,"",IF(V53="",0,(P53+Q53+S53-O53)/(I53-O53)))</f>
      </c>
      <c r="AB53" s="38"/>
    </row>
    <row r="54" spans="1:28" s="30" customFormat="1" ht="21" customHeight="1">
      <c r="A54" s="32"/>
      <c r="B54" s="130" t="s">
        <v>39</v>
      </c>
      <c r="C54" s="14" t="s">
        <v>2</v>
      </c>
      <c r="D54" s="29"/>
      <c r="E54" s="16" t="s">
        <v>27</v>
      </c>
      <c r="F54" s="15"/>
      <c r="G54" s="15"/>
      <c r="H54" s="15"/>
      <c r="I54" s="17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8"/>
      <c r="W54" s="18"/>
      <c r="AB54" s="34"/>
    </row>
    <row r="55" spans="1:28" s="30" customFormat="1" ht="21" customHeight="1">
      <c r="A55" s="32">
        <v>55</v>
      </c>
      <c r="B55" s="130"/>
      <c r="C55" s="20" t="str">
        <f>IF(A55="","VARA",VLOOKUP(A55,'[1]varas'!$A$4:$B$67,2))</f>
        <v>VT Pesqueira</v>
      </c>
      <c r="D55" s="15"/>
      <c r="E55" s="17"/>
      <c r="F55" s="15">
        <f>35+35+6+10</f>
        <v>86</v>
      </c>
      <c r="G55" s="15">
        <v>21</v>
      </c>
      <c r="H55" s="15">
        <v>0</v>
      </c>
      <c r="I55" s="17">
        <f>SUM(F55:H55)</f>
        <v>107</v>
      </c>
      <c r="J55" s="15">
        <v>38</v>
      </c>
      <c r="K55" s="15">
        <v>7</v>
      </c>
      <c r="L55" s="15">
        <v>6</v>
      </c>
      <c r="M55" s="15">
        <v>10</v>
      </c>
      <c r="N55" s="15">
        <v>0</v>
      </c>
      <c r="O55" s="15">
        <v>35</v>
      </c>
      <c r="P55" s="15">
        <f>SUM(J55:O55)</f>
        <v>96</v>
      </c>
      <c r="Q55" s="15">
        <v>10</v>
      </c>
      <c r="R55" s="15">
        <v>0</v>
      </c>
      <c r="S55" s="15">
        <v>0</v>
      </c>
      <c r="T55" s="15">
        <v>1</v>
      </c>
      <c r="U55" s="15">
        <v>137</v>
      </c>
      <c r="V55" s="18"/>
      <c r="W55" s="18"/>
      <c r="AB55" s="34"/>
    </row>
    <row r="56" spans="2:28" s="32" customFormat="1" ht="19.5" customHeight="1">
      <c r="B56" s="130"/>
      <c r="C56" s="21" t="s">
        <v>12</v>
      </c>
      <c r="D56" s="33"/>
      <c r="E56" s="23"/>
      <c r="F56" s="24">
        <f>SUM(F54:F55)</f>
        <v>86</v>
      </c>
      <c r="G56" s="24">
        <f>SUM(G54:G55)</f>
        <v>21</v>
      </c>
      <c r="H56" s="24">
        <f>SUM(H54:H55)</f>
        <v>0</v>
      </c>
      <c r="I56" s="40">
        <f>SUM(F56:H56)</f>
        <v>107</v>
      </c>
      <c r="J56" s="24">
        <f aca="true" t="shared" si="15" ref="J56:O56">SUM(J54:J55)</f>
        <v>38</v>
      </c>
      <c r="K56" s="24">
        <f t="shared" si="15"/>
        <v>7</v>
      </c>
      <c r="L56" s="24">
        <f t="shared" si="15"/>
        <v>6</v>
      </c>
      <c r="M56" s="24">
        <f t="shared" si="15"/>
        <v>10</v>
      </c>
      <c r="N56" s="24">
        <f t="shared" si="15"/>
        <v>0</v>
      </c>
      <c r="O56" s="24">
        <f t="shared" si="15"/>
        <v>35</v>
      </c>
      <c r="P56" s="24">
        <f>SUM(J56:O56)</f>
        <v>96</v>
      </c>
      <c r="Q56" s="24">
        <f>SUM(Q54:Q55)</f>
        <v>10</v>
      </c>
      <c r="R56" s="24">
        <f>SUM(R54:R55)</f>
        <v>0</v>
      </c>
      <c r="S56" s="24">
        <f>SUM(S54:S55)</f>
        <v>0</v>
      </c>
      <c r="T56" s="24">
        <f>SUM(T54:T55)</f>
        <v>1</v>
      </c>
      <c r="U56" s="24">
        <f>SUM(U54:U55)</f>
        <v>137</v>
      </c>
      <c r="V56" s="26">
        <f>IF(I56-Q56=0,"",IF(D56="",(P56+S56)/(I56-Q56),IF(AND(D56&lt;&gt;"",(P56+S56)/(I56-Q56)&gt;=50%),(P56+S56)/(I56-Q56),"")))</f>
        <v>0.9896907216494846</v>
      </c>
      <c r="W56" s="26">
        <f>IF(I56=O56,"",IF(V56="",0,(P56+Q56+S56-O56)/(I56-O56)))</f>
        <v>0.9861111111111112</v>
      </c>
      <c r="AB56" s="46"/>
    </row>
    <row r="57" spans="1:41" s="39" customFormat="1" ht="26.25" customHeight="1">
      <c r="A57" s="32"/>
      <c r="B57" s="131" t="s">
        <v>40</v>
      </c>
      <c r="C57" s="105" t="s">
        <v>2</v>
      </c>
      <c r="D57" s="29"/>
      <c r="E57" s="16" t="s">
        <v>27</v>
      </c>
      <c r="F57" s="15"/>
      <c r="G57" s="15"/>
      <c r="H57" s="15"/>
      <c r="I57" s="17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8"/>
      <c r="W57" s="18"/>
      <c r="X57" s="30"/>
      <c r="Y57" s="30"/>
      <c r="Z57" s="30"/>
      <c r="AA57" s="30"/>
      <c r="AB57" s="34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</row>
    <row r="58" spans="1:41" s="39" customFormat="1" ht="20.25" customHeight="1">
      <c r="A58" s="32">
        <v>8</v>
      </c>
      <c r="B58" s="132"/>
      <c r="C58" s="106" t="str">
        <f>IF(A58="","VARA",VLOOKUP(A58,'[1]varas'!$A$4:$B$67,2))</f>
        <v>8ª VT Recife</v>
      </c>
      <c r="D58" s="29"/>
      <c r="E58" s="16"/>
      <c r="F58" s="15">
        <f>79+51+21+14</f>
        <v>165</v>
      </c>
      <c r="G58" s="15">
        <v>0</v>
      </c>
      <c r="H58" s="15">
        <v>0</v>
      </c>
      <c r="I58" s="17">
        <f>SUM(F58:H58)</f>
        <v>165</v>
      </c>
      <c r="J58" s="15">
        <v>62</v>
      </c>
      <c r="K58" s="15">
        <v>17</v>
      </c>
      <c r="L58" s="15">
        <v>21</v>
      </c>
      <c r="M58" s="15">
        <v>14</v>
      </c>
      <c r="N58" s="15">
        <v>0</v>
      </c>
      <c r="O58" s="15">
        <v>51</v>
      </c>
      <c r="P58" s="15">
        <f>SUM(J58:O58)</f>
        <v>165</v>
      </c>
      <c r="Q58" s="15">
        <v>0</v>
      </c>
      <c r="R58" s="15">
        <v>0</v>
      </c>
      <c r="S58" s="15">
        <v>0</v>
      </c>
      <c r="T58" s="15">
        <v>0</v>
      </c>
      <c r="U58" s="15">
        <v>226</v>
      </c>
      <c r="V58" s="18"/>
      <c r="W58" s="18"/>
      <c r="X58" s="30"/>
      <c r="Y58" s="30"/>
      <c r="Z58" s="30"/>
      <c r="AA58" s="30"/>
      <c r="AB58" s="34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</row>
    <row r="59" spans="1:28" s="30" customFormat="1" ht="21" customHeight="1">
      <c r="A59" s="32"/>
      <c r="B59" s="133"/>
      <c r="C59" s="107" t="s">
        <v>12</v>
      </c>
      <c r="D59" s="33"/>
      <c r="E59" s="23"/>
      <c r="F59" s="24">
        <f>SUM(F57:F58)</f>
        <v>165</v>
      </c>
      <c r="G59" s="24">
        <f>SUM(G57:G58)</f>
        <v>0</v>
      </c>
      <c r="H59" s="24">
        <f>SUM(H57:H58)</f>
        <v>0</v>
      </c>
      <c r="I59" s="25">
        <f>SUM(F59:H59)</f>
        <v>165</v>
      </c>
      <c r="J59" s="24">
        <f aca="true" t="shared" si="16" ref="J59:O59">SUM(J57:J58)</f>
        <v>62</v>
      </c>
      <c r="K59" s="24">
        <f t="shared" si="16"/>
        <v>17</v>
      </c>
      <c r="L59" s="24">
        <f t="shared" si="16"/>
        <v>21</v>
      </c>
      <c r="M59" s="24">
        <f t="shared" si="16"/>
        <v>14</v>
      </c>
      <c r="N59" s="24">
        <f t="shared" si="16"/>
        <v>0</v>
      </c>
      <c r="O59" s="24">
        <f t="shared" si="16"/>
        <v>51</v>
      </c>
      <c r="P59" s="24">
        <f>SUM(J59:O59)</f>
        <v>165</v>
      </c>
      <c r="Q59" s="24">
        <f>SUM(Q57:Q58)</f>
        <v>0</v>
      </c>
      <c r="R59" s="24">
        <f>SUM(R57:R58)</f>
        <v>0</v>
      </c>
      <c r="S59" s="24">
        <f>SUM(S57:S58)</f>
        <v>0</v>
      </c>
      <c r="T59" s="24">
        <f>SUM(T57:T58)</f>
        <v>0</v>
      </c>
      <c r="U59" s="24">
        <f>SUM(U57:U58)</f>
        <v>226</v>
      </c>
      <c r="V59" s="26">
        <f>IF(I59-Q59=0,"",IF(D59="",(P59+S59)/(I59-Q59),IF(AND(D59&lt;&gt;"",(P59+S59)/(I59-Q59)&gt;=50%),(P59+S59)/(I59-Q59),"")))</f>
        <v>1</v>
      </c>
      <c r="W59" s="26">
        <f>IF(I59=O59,"",IF(V59="",0,(P59+Q59+S59-O59)/(I59-O59)))</f>
        <v>1</v>
      </c>
      <c r="AB59" s="34"/>
    </row>
    <row r="60" spans="1:28" s="30" customFormat="1" ht="17.25" customHeight="1">
      <c r="A60" s="32"/>
      <c r="B60" s="131" t="s">
        <v>41</v>
      </c>
      <c r="C60" s="105" t="s">
        <v>217</v>
      </c>
      <c r="D60" s="15" t="s">
        <v>30</v>
      </c>
      <c r="E60" s="16" t="s">
        <v>208</v>
      </c>
      <c r="F60" s="15"/>
      <c r="G60" s="15"/>
      <c r="H60" s="15"/>
      <c r="I60" s="17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8"/>
      <c r="W60" s="18"/>
      <c r="AB60" s="34"/>
    </row>
    <row r="61" spans="1:28" s="30" customFormat="1" ht="17.25" customHeight="1">
      <c r="A61" s="32">
        <v>38</v>
      </c>
      <c r="B61" s="132"/>
      <c r="C61" s="106" t="str">
        <f>IF(A61="","VARA",VLOOKUP(A61,'[1]varas'!$A$4:$B$67,2))</f>
        <v>1ª VT Olinda</v>
      </c>
      <c r="D61" s="15"/>
      <c r="E61" s="16"/>
      <c r="F61" s="15">
        <v>0</v>
      </c>
      <c r="G61" s="15">
        <v>0</v>
      </c>
      <c r="H61" s="15">
        <v>0</v>
      </c>
      <c r="I61" s="17">
        <f>SUM(F61:H61)</f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f>SUM(J61:O61)</f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8"/>
      <c r="W61" s="18"/>
      <c r="AB61" s="34"/>
    </row>
    <row r="62" spans="1:28" s="30" customFormat="1" ht="18.75" customHeight="1">
      <c r="A62" s="32">
        <v>39</v>
      </c>
      <c r="B62" s="132"/>
      <c r="C62" s="106" t="str">
        <f>IF(A62="","VARA",VLOOKUP(A62,'[1]varas'!$A$4:$B$67,2))</f>
        <v>2ª VT Olinda</v>
      </c>
      <c r="D62" s="29"/>
      <c r="E62" s="16"/>
      <c r="F62" s="15">
        <v>2</v>
      </c>
      <c r="G62" s="15">
        <v>8</v>
      </c>
      <c r="H62" s="15">
        <v>4</v>
      </c>
      <c r="I62" s="17">
        <f>SUM(F62:H62)</f>
        <v>14</v>
      </c>
      <c r="J62" s="15">
        <v>7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f>SUM(J62:O62)</f>
        <v>7</v>
      </c>
      <c r="Q62" s="15">
        <v>6</v>
      </c>
      <c r="R62" s="15">
        <v>1</v>
      </c>
      <c r="S62" s="15">
        <v>0</v>
      </c>
      <c r="T62" s="15">
        <v>0</v>
      </c>
      <c r="U62" s="15">
        <v>0</v>
      </c>
      <c r="V62" s="18"/>
      <c r="W62" s="18"/>
      <c r="AB62" s="34"/>
    </row>
    <row r="63" spans="1:28" s="30" customFormat="1" ht="16.5" customHeight="1">
      <c r="A63" s="32">
        <v>40</v>
      </c>
      <c r="B63" s="132"/>
      <c r="C63" s="106" t="str">
        <f>IF(A63="","VARA",VLOOKUP(A63,'[1]varas'!$A$4:$B$67,2))</f>
        <v>3ª VT Olinda</v>
      </c>
      <c r="D63" s="15"/>
      <c r="E63" s="17"/>
      <c r="F63" s="15">
        <v>0</v>
      </c>
      <c r="G63" s="15">
        <v>0</v>
      </c>
      <c r="H63" s="15">
        <v>0</v>
      </c>
      <c r="I63" s="17">
        <f>SUM(F63:H63)</f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f>SUM(J63:O63)</f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8"/>
      <c r="W63" s="18"/>
      <c r="AB63" s="34"/>
    </row>
    <row r="64" spans="1:28" s="49" customFormat="1" ht="16.5" customHeight="1">
      <c r="A64" s="47"/>
      <c r="B64" s="133"/>
      <c r="C64" s="106" t="s">
        <v>12</v>
      </c>
      <c r="D64" s="24"/>
      <c r="E64" s="48"/>
      <c r="F64" s="24">
        <f>SUM(F60:F63)</f>
        <v>2</v>
      </c>
      <c r="G64" s="24">
        <f>SUM(G60:G63)</f>
        <v>8</v>
      </c>
      <c r="H64" s="24">
        <f>SUM(H60:H63)</f>
        <v>4</v>
      </c>
      <c r="I64" s="40">
        <f>SUM(F64:H64)</f>
        <v>14</v>
      </c>
      <c r="J64" s="24">
        <f aca="true" t="shared" si="17" ref="J64:O64">SUM(J60:J63)</f>
        <v>7</v>
      </c>
      <c r="K64" s="24">
        <f t="shared" si="17"/>
        <v>0</v>
      </c>
      <c r="L64" s="24">
        <f t="shared" si="17"/>
        <v>0</v>
      </c>
      <c r="M64" s="24">
        <f t="shared" si="17"/>
        <v>0</v>
      </c>
      <c r="N64" s="24">
        <f t="shared" si="17"/>
        <v>0</v>
      </c>
      <c r="O64" s="24">
        <f t="shared" si="17"/>
        <v>0</v>
      </c>
      <c r="P64" s="24">
        <f>SUM(J64:O64)</f>
        <v>7</v>
      </c>
      <c r="Q64" s="24">
        <f>SUM(Q60:Q63)</f>
        <v>6</v>
      </c>
      <c r="R64" s="24">
        <f>SUM(R60:R63)</f>
        <v>1</v>
      </c>
      <c r="S64" s="24">
        <f>SUM(S60:S63)</f>
        <v>0</v>
      </c>
      <c r="T64" s="24">
        <f>SUM(T60:T63)</f>
        <v>0</v>
      </c>
      <c r="U64" s="24">
        <f>SUM(U60:U63)</f>
        <v>0</v>
      </c>
      <c r="V64" s="26">
        <f>IF(I64-Q64=0,"",IF(D64="",(P64+S64)/(I64-Q64),IF(AND(D64&lt;&gt;"",(P64+S64)/(I64-Q64)&gt;=50%),(P64+S64)/(I64-Q64),"")))</f>
        <v>0.875</v>
      </c>
      <c r="W64" s="26">
        <f>IF(I64=O64,"",IF(V64="",0,(P64+Q64+S64-O64)/(I64-O64)))</f>
        <v>0.9285714285714286</v>
      </c>
      <c r="AB64" s="50"/>
    </row>
    <row r="65" spans="1:28" s="30" customFormat="1" ht="21.75" customHeight="1">
      <c r="A65" s="32"/>
      <c r="B65" s="135" t="s">
        <v>42</v>
      </c>
      <c r="C65" s="14" t="s">
        <v>2</v>
      </c>
      <c r="D65" s="29"/>
      <c r="E65" s="16" t="s">
        <v>27</v>
      </c>
      <c r="F65" s="15"/>
      <c r="G65" s="15"/>
      <c r="H65" s="15"/>
      <c r="I65" s="17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8"/>
      <c r="W65" s="18"/>
      <c r="AB65" s="34"/>
    </row>
    <row r="66" spans="1:28" s="30" customFormat="1" ht="20.25" customHeight="1">
      <c r="A66" s="32">
        <v>19</v>
      </c>
      <c r="B66" s="130"/>
      <c r="C66" s="20" t="str">
        <f>IF(A66="","VARA",VLOOKUP(A66,'[1]varas'!$A$4:$B$67,2))</f>
        <v>19ª VT Recife</v>
      </c>
      <c r="D66" s="29"/>
      <c r="E66" s="16"/>
      <c r="F66" s="15">
        <f>54+29+8+18</f>
        <v>109</v>
      </c>
      <c r="G66" s="15">
        <v>10</v>
      </c>
      <c r="H66" s="15">
        <v>0</v>
      </c>
      <c r="I66" s="17">
        <f>SUM(F66:H66)</f>
        <v>119</v>
      </c>
      <c r="J66" s="15">
        <v>44</v>
      </c>
      <c r="K66" s="15">
        <v>16</v>
      </c>
      <c r="L66" s="15">
        <v>8</v>
      </c>
      <c r="M66" s="15">
        <v>18</v>
      </c>
      <c r="N66" s="15">
        <v>0</v>
      </c>
      <c r="O66" s="15">
        <v>29</v>
      </c>
      <c r="P66" s="15">
        <f>SUM(J66:O66)</f>
        <v>115</v>
      </c>
      <c r="Q66" s="15">
        <v>4</v>
      </c>
      <c r="R66" s="15">
        <v>0</v>
      </c>
      <c r="S66" s="15">
        <v>0</v>
      </c>
      <c r="T66" s="15">
        <v>0</v>
      </c>
      <c r="U66" s="15">
        <v>178</v>
      </c>
      <c r="V66" s="18"/>
      <c r="W66" s="18"/>
      <c r="AB66" s="34"/>
    </row>
    <row r="67" spans="1:28" s="49" customFormat="1" ht="18" customHeight="1">
      <c r="A67" s="47"/>
      <c r="B67" s="130"/>
      <c r="C67" s="21" t="s">
        <v>12</v>
      </c>
      <c r="D67" s="51"/>
      <c r="E67" s="52"/>
      <c r="F67" s="24">
        <f>SUM(F65:F66)</f>
        <v>109</v>
      </c>
      <c r="G67" s="24">
        <f>SUM(G65:G66)</f>
        <v>10</v>
      </c>
      <c r="H67" s="24">
        <f>SUM(H65:H66)</f>
        <v>0</v>
      </c>
      <c r="I67" s="25">
        <f>SUM(F67:H67)</f>
        <v>119</v>
      </c>
      <c r="J67" s="24">
        <f aca="true" t="shared" si="18" ref="J67:O67">SUM(J65:J66)</f>
        <v>44</v>
      </c>
      <c r="K67" s="24">
        <f t="shared" si="18"/>
        <v>16</v>
      </c>
      <c r="L67" s="24">
        <f t="shared" si="18"/>
        <v>8</v>
      </c>
      <c r="M67" s="24">
        <f t="shared" si="18"/>
        <v>18</v>
      </c>
      <c r="N67" s="24">
        <f t="shared" si="18"/>
        <v>0</v>
      </c>
      <c r="O67" s="24">
        <f t="shared" si="18"/>
        <v>29</v>
      </c>
      <c r="P67" s="24">
        <f>SUM(J67:O67)</f>
        <v>115</v>
      </c>
      <c r="Q67" s="24">
        <f>SUM(Q65:Q66)</f>
        <v>4</v>
      </c>
      <c r="R67" s="24">
        <f>SUM(R65:R66)</f>
        <v>0</v>
      </c>
      <c r="S67" s="24">
        <f>SUM(S65:S66)</f>
        <v>0</v>
      </c>
      <c r="T67" s="24">
        <f>SUM(T65:T66)</f>
        <v>0</v>
      </c>
      <c r="U67" s="24">
        <f>SUM(U65:U66)</f>
        <v>178</v>
      </c>
      <c r="V67" s="26">
        <f>IF(I67-Q67=0,"",IF(D67="",(P67+S67)/(I67-Q67),IF(AND(D67&lt;&gt;"",(P67+S67)/(I67-Q67)&gt;=50%),(P67+S67)/(I67-Q67),"")))</f>
        <v>1</v>
      </c>
      <c r="W67" s="26">
        <f>IF(I67=O67,"",IF(V67="",0,(P67+Q67+S67-O67)/(I67-O67)))</f>
        <v>1</v>
      </c>
      <c r="AB67" s="50"/>
    </row>
    <row r="68" spans="1:28" s="30" customFormat="1" ht="26.25" customHeight="1">
      <c r="A68" s="32"/>
      <c r="B68" s="130" t="s">
        <v>44</v>
      </c>
      <c r="C68" s="14" t="s">
        <v>158</v>
      </c>
      <c r="D68" s="29"/>
      <c r="E68" s="16" t="s">
        <v>27</v>
      </c>
      <c r="F68" s="15"/>
      <c r="G68" s="15"/>
      <c r="H68" s="15"/>
      <c r="I68" s="17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8"/>
      <c r="W68" s="18"/>
      <c r="AB68" s="34"/>
    </row>
    <row r="69" spans="1:28" s="30" customFormat="1" ht="21.75" customHeight="1">
      <c r="A69" s="32">
        <v>2</v>
      </c>
      <c r="B69" s="130"/>
      <c r="C69" s="20" t="str">
        <f>IF(A69="","VARA",VLOOKUP(A69,'[1]varas'!$A$4:$B$67,2))</f>
        <v>2ª VT Recife</v>
      </c>
      <c r="D69" s="15"/>
      <c r="E69" s="17"/>
      <c r="F69" s="15">
        <v>7</v>
      </c>
      <c r="G69" s="15">
        <v>0</v>
      </c>
      <c r="H69" s="15">
        <v>0</v>
      </c>
      <c r="I69" s="17">
        <f>SUM(F69:H69)</f>
        <v>7</v>
      </c>
      <c r="J69" s="15">
        <v>0</v>
      </c>
      <c r="K69" s="15">
        <v>0</v>
      </c>
      <c r="L69" s="15">
        <v>2</v>
      </c>
      <c r="M69" s="15">
        <v>0</v>
      </c>
      <c r="N69" s="15">
        <v>0</v>
      </c>
      <c r="O69" s="15">
        <v>4</v>
      </c>
      <c r="P69" s="15">
        <f>SUM(J69:O69)</f>
        <v>6</v>
      </c>
      <c r="Q69" s="15">
        <v>1</v>
      </c>
      <c r="R69" s="15">
        <v>0</v>
      </c>
      <c r="S69" s="15">
        <v>0</v>
      </c>
      <c r="T69" s="15">
        <v>0</v>
      </c>
      <c r="U69" s="15">
        <v>16</v>
      </c>
      <c r="V69" s="18"/>
      <c r="W69" s="18"/>
      <c r="AB69" s="34"/>
    </row>
    <row r="70" spans="1:28" s="30" customFormat="1" ht="21.75" customHeight="1">
      <c r="A70" s="32">
        <v>6</v>
      </c>
      <c r="B70" s="130"/>
      <c r="C70" s="20" t="str">
        <f>IF(A70="","VARA",VLOOKUP(A70,'[1]varas'!$A$4:$B$67,2))</f>
        <v>6ª VT Recife</v>
      </c>
      <c r="D70" s="15"/>
      <c r="E70" s="17"/>
      <c r="F70" s="15">
        <v>9</v>
      </c>
      <c r="G70" s="15">
        <v>0</v>
      </c>
      <c r="H70" s="15">
        <v>0</v>
      </c>
      <c r="I70" s="17">
        <f>SUM(F70:H70)</f>
        <v>9</v>
      </c>
      <c r="J70" s="15">
        <v>1</v>
      </c>
      <c r="K70" s="15">
        <v>2</v>
      </c>
      <c r="L70" s="15">
        <v>0</v>
      </c>
      <c r="M70" s="15">
        <v>0</v>
      </c>
      <c r="N70" s="15">
        <v>0</v>
      </c>
      <c r="O70" s="15">
        <v>5</v>
      </c>
      <c r="P70" s="15">
        <f>SUM(J70:O70)</f>
        <v>8</v>
      </c>
      <c r="Q70" s="15">
        <v>0</v>
      </c>
      <c r="R70" s="15">
        <v>1</v>
      </c>
      <c r="S70" s="15">
        <v>0</v>
      </c>
      <c r="T70" s="15">
        <v>0</v>
      </c>
      <c r="U70" s="15">
        <v>15</v>
      </c>
      <c r="V70" s="18"/>
      <c r="W70" s="18"/>
      <c r="AB70" s="34"/>
    </row>
    <row r="71" spans="1:28" s="30" customFormat="1" ht="21" customHeight="1">
      <c r="A71" s="32">
        <v>16</v>
      </c>
      <c r="B71" s="130"/>
      <c r="C71" s="20" t="str">
        <f>IF(A71="","VARA",VLOOKUP(A71,'[1]varas'!$A$4:$B$67,2))</f>
        <v>16ª VT Recife</v>
      </c>
      <c r="D71" s="15"/>
      <c r="E71" s="17"/>
      <c r="F71" s="15">
        <v>1</v>
      </c>
      <c r="G71" s="15">
        <v>0</v>
      </c>
      <c r="H71" s="15">
        <v>0</v>
      </c>
      <c r="I71" s="17">
        <f aca="true" t="shared" si="19" ref="I71:I76">SUM(F71:H71)</f>
        <v>1</v>
      </c>
      <c r="J71" s="15">
        <v>1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f aca="true" t="shared" si="20" ref="P71:P76">SUM(J71:O71)</f>
        <v>1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8"/>
      <c r="W71" s="18"/>
      <c r="AB71" s="34"/>
    </row>
    <row r="72" spans="1:28" s="30" customFormat="1" ht="21.75" customHeight="1">
      <c r="A72" s="32">
        <v>17</v>
      </c>
      <c r="B72" s="130"/>
      <c r="C72" s="20" t="str">
        <f>IF(A72="","VARA",VLOOKUP(A72,'[1]varas'!$A$4:$B$67,2))</f>
        <v>17ª VT Recife</v>
      </c>
      <c r="D72" s="15"/>
      <c r="E72" s="17"/>
      <c r="F72" s="15">
        <v>1</v>
      </c>
      <c r="G72" s="15">
        <v>1</v>
      </c>
      <c r="H72" s="15">
        <v>0</v>
      </c>
      <c r="I72" s="17">
        <f t="shared" si="19"/>
        <v>2</v>
      </c>
      <c r="J72" s="15">
        <v>1</v>
      </c>
      <c r="K72" s="15">
        <v>1</v>
      </c>
      <c r="L72" s="15">
        <v>0</v>
      </c>
      <c r="M72" s="15">
        <v>0</v>
      </c>
      <c r="N72" s="15">
        <v>0</v>
      </c>
      <c r="O72" s="15">
        <v>0</v>
      </c>
      <c r="P72" s="15">
        <f t="shared" si="20"/>
        <v>2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8"/>
      <c r="W72" s="18"/>
      <c r="AB72" s="34"/>
    </row>
    <row r="73" spans="1:28" s="30" customFormat="1" ht="21.75" customHeight="1">
      <c r="A73" s="32">
        <v>21</v>
      </c>
      <c r="B73" s="130"/>
      <c r="C73" s="20" t="str">
        <f>IF(A73="","VARA",VLOOKUP(A73,'[1]varas'!$A$4:$B$67,2))</f>
        <v>21ª VT Recife</v>
      </c>
      <c r="D73" s="15"/>
      <c r="E73" s="17"/>
      <c r="F73" s="15">
        <f>40+28+19+9</f>
        <v>96</v>
      </c>
      <c r="G73" s="15">
        <v>12</v>
      </c>
      <c r="H73" s="15">
        <v>32</v>
      </c>
      <c r="I73" s="17">
        <f t="shared" si="19"/>
        <v>140</v>
      </c>
      <c r="J73" s="15">
        <v>48</v>
      </c>
      <c r="K73" s="15">
        <v>15</v>
      </c>
      <c r="L73" s="15">
        <v>19</v>
      </c>
      <c r="M73" s="15">
        <v>8</v>
      </c>
      <c r="N73" s="15">
        <v>1</v>
      </c>
      <c r="O73" s="15">
        <v>28</v>
      </c>
      <c r="P73" s="15">
        <f t="shared" si="20"/>
        <v>119</v>
      </c>
      <c r="Q73" s="15">
        <v>8</v>
      </c>
      <c r="R73" s="15">
        <v>13</v>
      </c>
      <c r="S73" s="15">
        <v>0</v>
      </c>
      <c r="T73" s="15">
        <v>0</v>
      </c>
      <c r="U73" s="15">
        <v>125</v>
      </c>
      <c r="V73" s="18"/>
      <c r="W73" s="18"/>
      <c r="AB73" s="34"/>
    </row>
    <row r="74" spans="1:28" s="30" customFormat="1" ht="21.75" customHeight="1">
      <c r="A74" s="32">
        <v>60</v>
      </c>
      <c r="B74" s="130"/>
      <c r="C74" s="20" t="str">
        <f>IF(A74="","VARA",VLOOKUP(A74,'[1]varas'!$A$4:$B$67,2))</f>
        <v>VT Timbaúba</v>
      </c>
      <c r="D74" s="15"/>
      <c r="E74" s="17"/>
      <c r="F74" s="15">
        <v>0</v>
      </c>
      <c r="G74" s="15">
        <v>0</v>
      </c>
      <c r="H74" s="15">
        <v>3</v>
      </c>
      <c r="I74" s="17">
        <f t="shared" si="19"/>
        <v>3</v>
      </c>
      <c r="J74" s="15">
        <v>3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f t="shared" si="20"/>
        <v>3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8"/>
      <c r="W74" s="18"/>
      <c r="AB74" s="34"/>
    </row>
    <row r="75" spans="1:28" s="30" customFormat="1" ht="24" customHeight="1">
      <c r="A75" s="32">
        <v>57</v>
      </c>
      <c r="B75" s="130"/>
      <c r="C75" s="20" t="str">
        <f>IF(A75="","VARA",VLOOKUP(A75,'[1]varas'!$A$4:$B$67,2))</f>
        <v>VT S. Lourenço </v>
      </c>
      <c r="D75" s="15"/>
      <c r="E75" s="17"/>
      <c r="F75" s="15">
        <v>0</v>
      </c>
      <c r="G75" s="15">
        <v>0</v>
      </c>
      <c r="H75" s="15">
        <v>3</v>
      </c>
      <c r="I75" s="17">
        <f t="shared" si="19"/>
        <v>3</v>
      </c>
      <c r="J75" s="15">
        <v>3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f t="shared" si="20"/>
        <v>3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8"/>
      <c r="W75" s="18"/>
      <c r="AB75" s="34"/>
    </row>
    <row r="76" spans="1:28" s="49" customFormat="1" ht="18.75" customHeight="1">
      <c r="A76" s="47"/>
      <c r="B76" s="130"/>
      <c r="C76" s="20" t="s">
        <v>12</v>
      </c>
      <c r="D76" s="24"/>
      <c r="E76" s="48"/>
      <c r="F76" s="24">
        <f>SUM(F68:F75)</f>
        <v>114</v>
      </c>
      <c r="G76" s="24">
        <f>SUM(G68:G75)</f>
        <v>13</v>
      </c>
      <c r="H76" s="24">
        <f>SUM(H68:H75)</f>
        <v>38</v>
      </c>
      <c r="I76" s="40">
        <f t="shared" si="19"/>
        <v>165</v>
      </c>
      <c r="J76" s="24">
        <f aca="true" t="shared" si="21" ref="J76:O76">SUM(J68:J75)</f>
        <v>57</v>
      </c>
      <c r="K76" s="24">
        <f t="shared" si="21"/>
        <v>18</v>
      </c>
      <c r="L76" s="24">
        <f t="shared" si="21"/>
        <v>21</v>
      </c>
      <c r="M76" s="24">
        <f t="shared" si="21"/>
        <v>8</v>
      </c>
      <c r="N76" s="24">
        <f t="shared" si="21"/>
        <v>1</v>
      </c>
      <c r="O76" s="24">
        <f t="shared" si="21"/>
        <v>37</v>
      </c>
      <c r="P76" s="24">
        <f t="shared" si="20"/>
        <v>142</v>
      </c>
      <c r="Q76" s="24">
        <f>SUM(Q68:Q75)</f>
        <v>9</v>
      </c>
      <c r="R76" s="24">
        <f>SUM(R68:R75)</f>
        <v>14</v>
      </c>
      <c r="S76" s="24">
        <f>SUM(S68:S75)</f>
        <v>0</v>
      </c>
      <c r="T76" s="24">
        <f>SUM(T68:T75)</f>
        <v>0</v>
      </c>
      <c r="U76" s="24">
        <f>SUM(U68:U75)</f>
        <v>156</v>
      </c>
      <c r="V76" s="26">
        <f>IF(I76-Q76=0,"",IF(D76="",(P76+S76)/(I76-Q76),IF(AND(D76&lt;&gt;"",(P76+S76)/(I76-Q76)&gt;=50%),(P76+S76)/(I76-Q76),"")))</f>
        <v>0.9102564102564102</v>
      </c>
      <c r="W76" s="26">
        <f>IF(I76=O76,"",IF(V76="",0,(P76+Q76+S76-O76)/(I76-O76)))</f>
        <v>0.890625</v>
      </c>
      <c r="AB76" s="50"/>
    </row>
    <row r="77" spans="1:28" s="30" customFormat="1" ht="28.5" customHeight="1">
      <c r="A77" s="32"/>
      <c r="B77" s="130" t="s">
        <v>45</v>
      </c>
      <c r="C77" s="14" t="s">
        <v>155</v>
      </c>
      <c r="D77" s="29" t="s">
        <v>30</v>
      </c>
      <c r="E77" s="16" t="s">
        <v>208</v>
      </c>
      <c r="F77" s="15"/>
      <c r="G77" s="15"/>
      <c r="H77" s="15"/>
      <c r="I77" s="17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8"/>
      <c r="W77" s="18"/>
      <c r="AB77" s="34"/>
    </row>
    <row r="78" spans="1:28" s="30" customFormat="1" ht="18.75" customHeight="1">
      <c r="A78" s="32">
        <v>36</v>
      </c>
      <c r="B78" s="130"/>
      <c r="C78" s="20" t="str">
        <f>IF(A78="","VARA",VLOOKUP(A78,'[1]varas'!$A$4:$B$67,2))</f>
        <v>3ª VT Jaboatão</v>
      </c>
      <c r="D78" s="15"/>
      <c r="E78" s="16"/>
      <c r="F78" s="15">
        <v>3</v>
      </c>
      <c r="G78" s="15">
        <v>3</v>
      </c>
      <c r="H78" s="15">
        <v>0</v>
      </c>
      <c r="I78" s="17">
        <f>SUM(F78:H78)</f>
        <v>6</v>
      </c>
      <c r="J78" s="15">
        <v>5</v>
      </c>
      <c r="K78" s="15">
        <v>0</v>
      </c>
      <c r="L78" s="15">
        <v>0</v>
      </c>
      <c r="M78" s="15">
        <v>1</v>
      </c>
      <c r="N78" s="15">
        <v>0</v>
      </c>
      <c r="O78" s="15">
        <v>0</v>
      </c>
      <c r="P78" s="15">
        <f>SUM(J78:O78)</f>
        <v>6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8"/>
      <c r="W78" s="18"/>
      <c r="AB78" s="34"/>
    </row>
    <row r="79" spans="1:41" s="53" customFormat="1" ht="24.75" customHeight="1">
      <c r="A79" s="47"/>
      <c r="B79" s="130"/>
      <c r="C79" s="21" t="s">
        <v>12</v>
      </c>
      <c r="D79" s="51"/>
      <c r="E79" s="52"/>
      <c r="F79" s="24">
        <f>SUM(F77:F78)</f>
        <v>3</v>
      </c>
      <c r="G79" s="24">
        <f>SUM(G77:G78)</f>
        <v>3</v>
      </c>
      <c r="H79" s="24">
        <f>SUM(H77:H78)</f>
        <v>0</v>
      </c>
      <c r="I79" s="25">
        <f>SUM(F79:H79)</f>
        <v>6</v>
      </c>
      <c r="J79" s="24">
        <f aca="true" t="shared" si="22" ref="J79:O79">SUM(J77:J78)</f>
        <v>5</v>
      </c>
      <c r="K79" s="24">
        <f t="shared" si="22"/>
        <v>0</v>
      </c>
      <c r="L79" s="24">
        <f t="shared" si="22"/>
        <v>0</v>
      </c>
      <c r="M79" s="24">
        <f t="shared" si="22"/>
        <v>1</v>
      </c>
      <c r="N79" s="24">
        <f t="shared" si="22"/>
        <v>0</v>
      </c>
      <c r="O79" s="24">
        <f t="shared" si="22"/>
        <v>0</v>
      </c>
      <c r="P79" s="24">
        <f>SUM(J79:O79)</f>
        <v>6</v>
      </c>
      <c r="Q79" s="24">
        <f>SUM(Q77:Q78)</f>
        <v>0</v>
      </c>
      <c r="R79" s="24">
        <f>SUM(R77:R78)</f>
        <v>0</v>
      </c>
      <c r="S79" s="24">
        <f>SUM(S77:S78)</f>
        <v>0</v>
      </c>
      <c r="T79" s="24">
        <f>SUM(T77:T78)</f>
        <v>0</v>
      </c>
      <c r="U79" s="24">
        <f>SUM(U77:U78)</f>
        <v>0</v>
      </c>
      <c r="V79" s="26">
        <f>IF(I79-Q79=0,"",IF(D79="",(P79+S79)/(I79-Q79),IF(AND(D79&lt;&gt;"",(P79+S79)/(I79-Q79)&gt;=50%),(P79+S79)/(I79-Q79),"")))</f>
        <v>1</v>
      </c>
      <c r="W79" s="26">
        <f>IF(I79=O79,"",IF(V79="",0,(P79+Q79+S79-O79)/(I79-O79)))</f>
        <v>1</v>
      </c>
      <c r="X79" s="49"/>
      <c r="Y79" s="49"/>
      <c r="Z79" s="49"/>
      <c r="AA79" s="49"/>
      <c r="AB79" s="50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</row>
    <row r="80" spans="1:41" s="39" customFormat="1" ht="24.75" customHeight="1">
      <c r="A80" s="32"/>
      <c r="B80" s="136" t="s">
        <v>46</v>
      </c>
      <c r="C80" s="14" t="s">
        <v>2</v>
      </c>
      <c r="D80" s="29"/>
      <c r="E80" s="16" t="s">
        <v>27</v>
      </c>
      <c r="F80" s="15"/>
      <c r="G80" s="15"/>
      <c r="H80" s="15"/>
      <c r="I80" s="17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8"/>
      <c r="W80" s="18"/>
      <c r="X80" s="30"/>
      <c r="Y80" s="30"/>
      <c r="Z80" s="30"/>
      <c r="AA80" s="30"/>
      <c r="AB80" s="34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</row>
    <row r="81" spans="1:41" s="39" customFormat="1" ht="24.75" customHeight="1">
      <c r="A81" s="32">
        <v>26</v>
      </c>
      <c r="B81" s="136"/>
      <c r="C81" s="20" t="str">
        <f>IF(A81="","VARA",VLOOKUP(A81,'[1]varas'!$A$4:$B$67,2))</f>
        <v>1ª VT Cabo</v>
      </c>
      <c r="D81" s="15"/>
      <c r="E81" s="16"/>
      <c r="F81" s="15">
        <f>50+25+3+9</f>
        <v>87</v>
      </c>
      <c r="G81" s="15">
        <v>14</v>
      </c>
      <c r="H81" s="15">
        <v>0</v>
      </c>
      <c r="I81" s="17">
        <f>SUM(F81:H81)</f>
        <v>101</v>
      </c>
      <c r="J81" s="15">
        <v>24</v>
      </c>
      <c r="K81" s="15">
        <v>21</v>
      </c>
      <c r="L81" s="15">
        <v>3</v>
      </c>
      <c r="M81" s="15">
        <v>12</v>
      </c>
      <c r="N81" s="15">
        <v>1</v>
      </c>
      <c r="O81" s="15">
        <v>25</v>
      </c>
      <c r="P81" s="15">
        <f>SUM(J81:O81)</f>
        <v>86</v>
      </c>
      <c r="Q81" s="15">
        <v>14</v>
      </c>
      <c r="R81" s="15">
        <v>0</v>
      </c>
      <c r="S81" s="15">
        <v>0</v>
      </c>
      <c r="T81" s="15">
        <v>1</v>
      </c>
      <c r="U81" s="15">
        <v>171</v>
      </c>
      <c r="V81" s="18"/>
      <c r="W81" s="18"/>
      <c r="X81" s="30"/>
      <c r="Y81" s="30"/>
      <c r="Z81" s="30"/>
      <c r="AA81" s="30"/>
      <c r="AB81" s="34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</row>
    <row r="82" spans="1:41" s="39" customFormat="1" ht="23.25" customHeight="1">
      <c r="A82" s="32">
        <v>27</v>
      </c>
      <c r="B82" s="136"/>
      <c r="C82" s="20" t="str">
        <f>IF(A82="","VARA",VLOOKUP(A82,'[1]varas'!$A$4:$B$67,2))</f>
        <v>2ª VT Cabo</v>
      </c>
      <c r="D82" s="15"/>
      <c r="E82" s="16"/>
      <c r="F82" s="15">
        <v>1</v>
      </c>
      <c r="G82" s="15">
        <v>0</v>
      </c>
      <c r="H82" s="15">
        <v>0</v>
      </c>
      <c r="I82" s="17">
        <f>SUM(F82:H82)</f>
        <v>1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1</v>
      </c>
      <c r="P82" s="15">
        <f>SUM(J82:O82)</f>
        <v>1</v>
      </c>
      <c r="Q82" s="15">
        <v>0</v>
      </c>
      <c r="R82" s="15">
        <v>0</v>
      </c>
      <c r="S82" s="15">
        <v>0</v>
      </c>
      <c r="T82" s="15">
        <v>0</v>
      </c>
      <c r="U82" s="15">
        <v>1</v>
      </c>
      <c r="V82" s="18"/>
      <c r="W82" s="18"/>
      <c r="X82" s="30"/>
      <c r="Y82" s="30"/>
      <c r="Z82" s="30"/>
      <c r="AA82" s="30"/>
      <c r="AB82" s="34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</row>
    <row r="83" spans="1:41" s="53" customFormat="1" ht="21.75" customHeight="1">
      <c r="A83" s="47"/>
      <c r="B83" s="130"/>
      <c r="C83" s="21" t="s">
        <v>12</v>
      </c>
      <c r="D83" s="51"/>
      <c r="E83" s="52"/>
      <c r="F83" s="24">
        <f>SUM(F80:F82)</f>
        <v>88</v>
      </c>
      <c r="G83" s="24">
        <f>SUM(G80:G82)</f>
        <v>14</v>
      </c>
      <c r="H83" s="24">
        <f>SUM(H80:H82)</f>
        <v>0</v>
      </c>
      <c r="I83" s="25">
        <f>SUM(F83:H83)</f>
        <v>102</v>
      </c>
      <c r="J83" s="24">
        <f aca="true" t="shared" si="23" ref="J83:O83">SUM(J80:J82)</f>
        <v>24</v>
      </c>
      <c r="K83" s="24">
        <f t="shared" si="23"/>
        <v>21</v>
      </c>
      <c r="L83" s="24">
        <f t="shared" si="23"/>
        <v>3</v>
      </c>
      <c r="M83" s="24">
        <f t="shared" si="23"/>
        <v>12</v>
      </c>
      <c r="N83" s="24">
        <f t="shared" si="23"/>
        <v>1</v>
      </c>
      <c r="O83" s="24">
        <f t="shared" si="23"/>
        <v>26</v>
      </c>
      <c r="P83" s="24">
        <f>SUM(J83:O83)</f>
        <v>87</v>
      </c>
      <c r="Q83" s="24">
        <f>SUM(Q80:Q82)</f>
        <v>14</v>
      </c>
      <c r="R83" s="24">
        <f>SUM(R80:R82)</f>
        <v>0</v>
      </c>
      <c r="S83" s="24">
        <f>SUM(S80:S82)</f>
        <v>0</v>
      </c>
      <c r="T83" s="24">
        <f>SUM(T80:T82)</f>
        <v>1</v>
      </c>
      <c r="U83" s="24">
        <f>SUM(U80:U82)</f>
        <v>172</v>
      </c>
      <c r="V83" s="26">
        <f>IF(I83-Q83=0,"",IF(D83="",(P83+S83)/(I83-Q83),IF(AND(D83&lt;&gt;"",(P83+S83)/(I83-Q83)&gt;=50%),(P83+S83)/(I83-Q83),"")))</f>
        <v>0.9886363636363636</v>
      </c>
      <c r="W83" s="26">
        <f>IF(I83=O83,"",IF(V83="",0,(P83+Q83+S83-O83)/(I83-O83)))</f>
        <v>0.9868421052631579</v>
      </c>
      <c r="X83" s="49"/>
      <c r="Y83" s="49"/>
      <c r="Z83" s="49"/>
      <c r="AA83" s="49"/>
      <c r="AB83" s="50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</row>
    <row r="84" spans="1:41" s="39" customFormat="1" ht="25.5" customHeight="1">
      <c r="A84" s="32"/>
      <c r="B84" s="137" t="s">
        <v>47</v>
      </c>
      <c r="C84" s="105" t="s">
        <v>2</v>
      </c>
      <c r="D84" s="29" t="s">
        <v>30</v>
      </c>
      <c r="E84" s="16" t="s">
        <v>195</v>
      </c>
      <c r="F84" s="15"/>
      <c r="G84" s="15"/>
      <c r="H84" s="15"/>
      <c r="I84" s="17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8"/>
      <c r="W84" s="18"/>
      <c r="X84" s="30"/>
      <c r="Y84" s="30"/>
      <c r="Z84" s="30"/>
      <c r="AA84" s="30"/>
      <c r="AB84" s="34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</row>
    <row r="85" spans="1:41" s="39" customFormat="1" ht="20.25" customHeight="1">
      <c r="A85" s="32">
        <v>25</v>
      </c>
      <c r="B85" s="138"/>
      <c r="C85" s="106" t="str">
        <f>IF(A85="","VARA",VLOOKUP(A85,'[1]varas'!$A$4:$B$67,2))</f>
        <v>2ª VT Barreiros</v>
      </c>
      <c r="D85" s="29"/>
      <c r="E85" s="16"/>
      <c r="F85" s="15">
        <v>0</v>
      </c>
      <c r="G85" s="15">
        <v>10</v>
      </c>
      <c r="H85" s="15">
        <v>6</v>
      </c>
      <c r="I85" s="17">
        <f>SUM(F85:H85)</f>
        <v>16</v>
      </c>
      <c r="J85" s="15">
        <v>15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f>SUM(J85:O85)</f>
        <v>15</v>
      </c>
      <c r="Q85" s="15">
        <v>0</v>
      </c>
      <c r="R85" s="15">
        <v>1</v>
      </c>
      <c r="S85" s="15">
        <v>0</v>
      </c>
      <c r="T85" s="15">
        <v>0</v>
      </c>
      <c r="U85" s="15">
        <v>15</v>
      </c>
      <c r="V85" s="18"/>
      <c r="W85" s="18"/>
      <c r="X85" s="30"/>
      <c r="Y85" s="30"/>
      <c r="Z85" s="30"/>
      <c r="AA85" s="30"/>
      <c r="AB85" s="34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</row>
    <row r="86" spans="1:41" s="53" customFormat="1" ht="18.75" customHeight="1">
      <c r="A86" s="47"/>
      <c r="B86" s="133"/>
      <c r="C86" s="107" t="s">
        <v>12</v>
      </c>
      <c r="D86" s="51"/>
      <c r="E86" s="52"/>
      <c r="F86" s="24">
        <f>SUM(F84:F85)</f>
        <v>0</v>
      </c>
      <c r="G86" s="24">
        <f>SUM(G84:G85)</f>
        <v>10</v>
      </c>
      <c r="H86" s="24">
        <f>SUM(H84:H85)</f>
        <v>6</v>
      </c>
      <c r="I86" s="25">
        <f>SUM(F86:H86)</f>
        <v>16</v>
      </c>
      <c r="J86" s="24">
        <f aca="true" t="shared" si="24" ref="J86:O86">SUM(J84:J85)</f>
        <v>15</v>
      </c>
      <c r="K86" s="24">
        <f t="shared" si="24"/>
        <v>0</v>
      </c>
      <c r="L86" s="24">
        <f t="shared" si="24"/>
        <v>0</v>
      </c>
      <c r="M86" s="24">
        <f t="shared" si="24"/>
        <v>0</v>
      </c>
      <c r="N86" s="24">
        <f t="shared" si="24"/>
        <v>0</v>
      </c>
      <c r="O86" s="24">
        <f t="shared" si="24"/>
        <v>0</v>
      </c>
      <c r="P86" s="24">
        <f>SUM(J86:O86)</f>
        <v>15</v>
      </c>
      <c r="Q86" s="24">
        <f>SUM(Q84:Q85)</f>
        <v>0</v>
      </c>
      <c r="R86" s="24">
        <f>SUM(R84:R85)</f>
        <v>1</v>
      </c>
      <c r="S86" s="24">
        <f>SUM(S84:S85)</f>
        <v>0</v>
      </c>
      <c r="T86" s="24">
        <f>SUM(T84:T85)</f>
        <v>0</v>
      </c>
      <c r="U86" s="24">
        <f>SUM(U84:U85)</f>
        <v>15</v>
      </c>
      <c r="V86" s="26">
        <f>IF(I86-Q86=0,"",IF(D86="",(P86+S86)/(I86-Q86),IF(AND(D86&lt;&gt;"",(P86+S86)/(I86-Q86)&gt;=50%),(P86+S86)/(I86-Q86),"")))</f>
        <v>0.9375</v>
      </c>
      <c r="W86" s="26">
        <f>IF(I86=O86,"",IF(V86="",0,(P86+Q86+S86-O86)/(I86-O86)))</f>
        <v>0.9375</v>
      </c>
      <c r="X86" s="49"/>
      <c r="Y86" s="49"/>
      <c r="Z86" s="49"/>
      <c r="AA86" s="49"/>
      <c r="AB86" s="50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</row>
    <row r="87" spans="1:41" s="39" customFormat="1" ht="24.75" customHeight="1">
      <c r="A87" s="32"/>
      <c r="B87" s="137" t="s">
        <v>48</v>
      </c>
      <c r="C87" s="105" t="s">
        <v>158</v>
      </c>
      <c r="D87" s="29"/>
      <c r="E87" s="16" t="s">
        <v>27</v>
      </c>
      <c r="F87" s="15"/>
      <c r="G87" s="15"/>
      <c r="H87" s="15"/>
      <c r="I87" s="17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8"/>
      <c r="W87" s="18"/>
      <c r="X87" s="30"/>
      <c r="Y87" s="30"/>
      <c r="Z87" s="30"/>
      <c r="AA87" s="30"/>
      <c r="AB87" s="34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</row>
    <row r="88" spans="1:41" s="39" customFormat="1" ht="21.75" customHeight="1">
      <c r="A88" s="32">
        <v>14</v>
      </c>
      <c r="B88" s="138"/>
      <c r="C88" s="106" t="str">
        <f>IF(A88="","VARA",VLOOKUP(A88,'[1]varas'!$A$4:$B$67,2))</f>
        <v>14ª VT Recife</v>
      </c>
      <c r="D88" s="29"/>
      <c r="E88" s="16"/>
      <c r="F88" s="15">
        <f>46+32+25+10</f>
        <v>113</v>
      </c>
      <c r="G88" s="15">
        <v>11</v>
      </c>
      <c r="H88" s="15">
        <v>31</v>
      </c>
      <c r="I88" s="17">
        <f>SUM(F88:H88)</f>
        <v>155</v>
      </c>
      <c r="J88" s="15">
        <v>19</v>
      </c>
      <c r="K88" s="15">
        <v>13</v>
      </c>
      <c r="L88" s="15">
        <v>25</v>
      </c>
      <c r="M88" s="15">
        <v>9</v>
      </c>
      <c r="N88" s="15">
        <v>1</v>
      </c>
      <c r="O88" s="15">
        <v>32</v>
      </c>
      <c r="P88" s="15">
        <f>SUM(J88:O88)</f>
        <v>99</v>
      </c>
      <c r="Q88" s="15">
        <v>13</v>
      </c>
      <c r="R88" s="15">
        <v>43</v>
      </c>
      <c r="S88" s="15">
        <v>0</v>
      </c>
      <c r="T88" s="15">
        <v>0</v>
      </c>
      <c r="U88" s="15">
        <v>126</v>
      </c>
      <c r="V88" s="18"/>
      <c r="W88" s="18"/>
      <c r="X88" s="30"/>
      <c r="Y88" s="30"/>
      <c r="Z88" s="30"/>
      <c r="AA88" s="30"/>
      <c r="AB88" s="34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</row>
    <row r="89" spans="1:41" s="39" customFormat="1" ht="18" customHeight="1">
      <c r="A89" s="32">
        <v>15</v>
      </c>
      <c r="B89" s="138"/>
      <c r="C89" s="106" t="str">
        <f>IF(A89="","VARA",VLOOKUP(A89,'[1]varas'!$A$4:$B$67,2))</f>
        <v>15ª VT Recife</v>
      </c>
      <c r="D89" s="15"/>
      <c r="E89" s="16"/>
      <c r="F89" s="15">
        <v>0</v>
      </c>
      <c r="G89" s="15">
        <v>0</v>
      </c>
      <c r="H89" s="15">
        <v>5</v>
      </c>
      <c r="I89" s="17">
        <f>SUM(F89:H89)</f>
        <v>5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f>SUM(J89:O89)</f>
        <v>0</v>
      </c>
      <c r="Q89" s="15">
        <v>0</v>
      </c>
      <c r="R89" s="15">
        <v>5</v>
      </c>
      <c r="S89" s="15">
        <v>0</v>
      </c>
      <c r="T89" s="15">
        <v>0</v>
      </c>
      <c r="U89" s="15">
        <v>0</v>
      </c>
      <c r="V89" s="18"/>
      <c r="W89" s="18"/>
      <c r="X89" s="30"/>
      <c r="Y89" s="30"/>
      <c r="Z89" s="30"/>
      <c r="AA89" s="30"/>
      <c r="AB89" s="34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</row>
    <row r="90" spans="1:41" s="53" customFormat="1" ht="18.75" customHeight="1">
      <c r="A90" s="47"/>
      <c r="B90" s="133"/>
      <c r="C90" s="106" t="s">
        <v>12</v>
      </c>
      <c r="D90" s="24"/>
      <c r="E90" s="48"/>
      <c r="F90" s="24">
        <f>SUM(F87:F89)</f>
        <v>113</v>
      </c>
      <c r="G90" s="24">
        <f>SUM(G87:G89)</f>
        <v>11</v>
      </c>
      <c r="H90" s="24">
        <f>SUM(H87:H89)</f>
        <v>36</v>
      </c>
      <c r="I90" s="40">
        <f>SUM(F90:H90)</f>
        <v>160</v>
      </c>
      <c r="J90" s="24">
        <f aca="true" t="shared" si="25" ref="J90:O90">SUM(J87:J89)</f>
        <v>19</v>
      </c>
      <c r="K90" s="24">
        <f t="shared" si="25"/>
        <v>13</v>
      </c>
      <c r="L90" s="24">
        <f t="shared" si="25"/>
        <v>25</v>
      </c>
      <c r="M90" s="24">
        <f t="shared" si="25"/>
        <v>9</v>
      </c>
      <c r="N90" s="24">
        <f t="shared" si="25"/>
        <v>1</v>
      </c>
      <c r="O90" s="24">
        <f t="shared" si="25"/>
        <v>32</v>
      </c>
      <c r="P90" s="24">
        <f>SUM(J90:O90)</f>
        <v>99</v>
      </c>
      <c r="Q90" s="24">
        <f>SUM(Q87:Q89)</f>
        <v>13</v>
      </c>
      <c r="R90" s="24">
        <f>SUM(R87:R89)</f>
        <v>48</v>
      </c>
      <c r="S90" s="24">
        <f>SUM(S87:S89)</f>
        <v>0</v>
      </c>
      <c r="T90" s="24">
        <f>SUM(T87:T89)</f>
        <v>0</v>
      </c>
      <c r="U90" s="24">
        <f>SUM(U87:U89)</f>
        <v>126</v>
      </c>
      <c r="V90" s="26">
        <f>IF(I90-Q90=0,"",IF(D90="",(P90+S90)/(I90-Q90),IF(AND(D90&lt;&gt;"",(P90+S90)/(I90-Q90)&gt;=50%),(P90+S90)/(I90-Q90),"")))</f>
        <v>0.673469387755102</v>
      </c>
      <c r="W90" s="26">
        <f>IF(I90=O90,"",IF(V90="",0,(P90+Q90+S90-O90)/(I90-O90)))</f>
        <v>0.625</v>
      </c>
      <c r="X90" s="49"/>
      <c r="Y90" s="49"/>
      <c r="Z90" s="49"/>
      <c r="AA90" s="49"/>
      <c r="AB90" s="50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</row>
    <row r="91" spans="1:41" s="39" customFormat="1" ht="21.75" customHeight="1">
      <c r="A91" s="32"/>
      <c r="B91" s="137" t="s">
        <v>49</v>
      </c>
      <c r="C91" s="105" t="s">
        <v>2</v>
      </c>
      <c r="D91" s="29"/>
      <c r="E91" s="16" t="s">
        <v>27</v>
      </c>
      <c r="F91" s="15"/>
      <c r="G91" s="15"/>
      <c r="H91" s="15"/>
      <c r="I91" s="17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8"/>
      <c r="W91" s="18"/>
      <c r="X91" s="30"/>
      <c r="Y91" s="30"/>
      <c r="Z91" s="30"/>
      <c r="AA91" s="30"/>
      <c r="AB91" s="34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</row>
    <row r="92" spans="1:41" s="39" customFormat="1" ht="19.5" customHeight="1">
      <c r="A92" s="32">
        <v>45</v>
      </c>
      <c r="B92" s="138"/>
      <c r="C92" s="106" t="str">
        <f>IF(A92="","VARA",VLOOKUP(A92,'[1]varas'!$A$4:$B$67,2))</f>
        <v>VT Araripina</v>
      </c>
      <c r="D92" s="15"/>
      <c r="E92" s="16"/>
      <c r="F92" s="15">
        <f>44+56+11</f>
        <v>111</v>
      </c>
      <c r="G92" s="15">
        <v>0</v>
      </c>
      <c r="H92" s="15">
        <v>14</v>
      </c>
      <c r="I92" s="17">
        <f>SUM(F92:H92)</f>
        <v>125</v>
      </c>
      <c r="J92" s="15">
        <v>39</v>
      </c>
      <c r="K92" s="15">
        <v>17</v>
      </c>
      <c r="L92" s="15">
        <v>6</v>
      </c>
      <c r="M92" s="15">
        <v>1</v>
      </c>
      <c r="N92" s="15">
        <v>0</v>
      </c>
      <c r="O92" s="15">
        <v>56</v>
      </c>
      <c r="P92" s="15">
        <f>SUM(J92:O92)</f>
        <v>119</v>
      </c>
      <c r="Q92" s="15">
        <v>4</v>
      </c>
      <c r="R92" s="15">
        <v>1</v>
      </c>
      <c r="S92" s="15">
        <v>0</v>
      </c>
      <c r="T92" s="15">
        <v>1</v>
      </c>
      <c r="U92" s="15">
        <v>125</v>
      </c>
      <c r="V92" s="18"/>
      <c r="W92" s="18"/>
      <c r="X92" s="30"/>
      <c r="Y92" s="30"/>
      <c r="Z92" s="30"/>
      <c r="AA92" s="30"/>
      <c r="AB92" s="34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</row>
    <row r="93" spans="1:41" s="53" customFormat="1" ht="17.25" customHeight="1">
      <c r="A93" s="47"/>
      <c r="B93" s="133"/>
      <c r="C93" s="107" t="s">
        <v>12</v>
      </c>
      <c r="D93" s="51"/>
      <c r="E93" s="52"/>
      <c r="F93" s="24">
        <f>SUM(F91:F92)</f>
        <v>111</v>
      </c>
      <c r="G93" s="24">
        <f>SUM(G91:G92)</f>
        <v>0</v>
      </c>
      <c r="H93" s="24">
        <f>SUM(H91:H92)</f>
        <v>14</v>
      </c>
      <c r="I93" s="25">
        <f>SUM(F93:H93)</f>
        <v>125</v>
      </c>
      <c r="J93" s="24">
        <f aca="true" t="shared" si="26" ref="J93:O93">SUM(J91:J92)</f>
        <v>39</v>
      </c>
      <c r="K93" s="24">
        <f t="shared" si="26"/>
        <v>17</v>
      </c>
      <c r="L93" s="24">
        <f t="shared" si="26"/>
        <v>6</v>
      </c>
      <c r="M93" s="24">
        <f t="shared" si="26"/>
        <v>1</v>
      </c>
      <c r="N93" s="24">
        <f t="shared" si="26"/>
        <v>0</v>
      </c>
      <c r="O93" s="24">
        <f t="shared" si="26"/>
        <v>56</v>
      </c>
      <c r="P93" s="24">
        <f>SUM(J93:O93)</f>
        <v>119</v>
      </c>
      <c r="Q93" s="24">
        <f>SUM(Q91:Q92)</f>
        <v>4</v>
      </c>
      <c r="R93" s="24">
        <f>SUM(R91:R92)</f>
        <v>1</v>
      </c>
      <c r="S93" s="24">
        <f>SUM(S91:S92)</f>
        <v>0</v>
      </c>
      <c r="T93" s="24">
        <f>SUM(T91:T92)</f>
        <v>1</v>
      </c>
      <c r="U93" s="24">
        <f>SUM(U91:U92)</f>
        <v>125</v>
      </c>
      <c r="V93" s="26">
        <f>IF(I93-Q93=0,"",IF(D93="",(P93+S93)/(I93-Q93),IF(AND(D93&lt;&gt;"",(P93+S93)/(I93-Q93)&gt;=50%),(P93+S93)/(I93-Q93),"")))</f>
        <v>0.9834710743801653</v>
      </c>
      <c r="W93" s="26">
        <f>IF(I93=O93,"",IF(V93="",0,(P93+Q93+S93-O93)/(I93-O93)))</f>
        <v>0.9710144927536232</v>
      </c>
      <c r="X93" s="49"/>
      <c r="Y93" s="49"/>
      <c r="Z93" s="49"/>
      <c r="AA93" s="49"/>
      <c r="AB93" s="50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</row>
    <row r="94" spans="1:41" s="39" customFormat="1" ht="18.75" customHeight="1">
      <c r="A94" s="32"/>
      <c r="B94" s="129" t="s">
        <v>50</v>
      </c>
      <c r="C94" s="14" t="s">
        <v>2</v>
      </c>
      <c r="D94" s="29" t="s">
        <v>43</v>
      </c>
      <c r="E94" s="16" t="s">
        <v>211</v>
      </c>
      <c r="F94" s="15"/>
      <c r="G94" s="15"/>
      <c r="H94" s="15"/>
      <c r="I94" s="17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8"/>
      <c r="W94" s="18"/>
      <c r="X94" s="30"/>
      <c r="Y94" s="30"/>
      <c r="Z94" s="30"/>
      <c r="AA94" s="30"/>
      <c r="AB94" s="34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</row>
    <row r="95" spans="1:41" s="39" customFormat="1" ht="18" customHeight="1">
      <c r="A95" s="32">
        <v>17</v>
      </c>
      <c r="B95" s="136"/>
      <c r="C95" s="20" t="str">
        <f>IF(A95="","VARA",VLOOKUP(A95,'[1]varas'!$A$4:$B$67,2))</f>
        <v>17ª VT Recife</v>
      </c>
      <c r="D95" s="29"/>
      <c r="E95" s="16"/>
      <c r="F95" s="15">
        <v>0</v>
      </c>
      <c r="G95" s="15">
        <v>0</v>
      </c>
      <c r="H95" s="15">
        <v>0</v>
      </c>
      <c r="I95" s="17">
        <f>SUM(F95:H95)</f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f>SUM(J95:O95)</f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8"/>
      <c r="W95" s="18"/>
      <c r="X95" s="30"/>
      <c r="Y95" s="30"/>
      <c r="Z95" s="30"/>
      <c r="AA95" s="30"/>
      <c r="AB95" s="34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</row>
    <row r="96" spans="1:41" s="53" customFormat="1" ht="18" customHeight="1">
      <c r="A96" s="47"/>
      <c r="B96" s="136"/>
      <c r="C96" s="20" t="s">
        <v>12</v>
      </c>
      <c r="D96" s="24"/>
      <c r="E96" s="48"/>
      <c r="F96" s="24">
        <f>SUM(F94:F95)</f>
        <v>0</v>
      </c>
      <c r="G96" s="24">
        <f>SUM(G94:G95)</f>
        <v>0</v>
      </c>
      <c r="H96" s="24">
        <f>SUM(H94:H95)</f>
        <v>0</v>
      </c>
      <c r="I96" s="40">
        <f>SUM(F96:H96)</f>
        <v>0</v>
      </c>
      <c r="J96" s="24">
        <f aca="true" t="shared" si="27" ref="J96:O96">SUM(J94:J95)</f>
        <v>0</v>
      </c>
      <c r="K96" s="24">
        <f t="shared" si="27"/>
        <v>0</v>
      </c>
      <c r="L96" s="24">
        <f t="shared" si="27"/>
        <v>0</v>
      </c>
      <c r="M96" s="24">
        <f t="shared" si="27"/>
        <v>0</v>
      </c>
      <c r="N96" s="24">
        <f t="shared" si="27"/>
        <v>0</v>
      </c>
      <c r="O96" s="24">
        <f t="shared" si="27"/>
        <v>0</v>
      </c>
      <c r="P96" s="24">
        <f>SUM(J96:O96)</f>
        <v>0</v>
      </c>
      <c r="Q96" s="24">
        <f>SUM(Q94:Q95)</f>
        <v>0</v>
      </c>
      <c r="R96" s="24">
        <f>SUM(R94:R95)</f>
        <v>0</v>
      </c>
      <c r="S96" s="24">
        <f>SUM(S94:S95)</f>
        <v>0</v>
      </c>
      <c r="T96" s="24">
        <f>SUM(T94:T95)</f>
        <v>0</v>
      </c>
      <c r="U96" s="24">
        <f>SUM(U94:U95)</f>
        <v>0</v>
      </c>
      <c r="V96" s="26">
        <f>IF(I96-Q96=0,"",IF(D96="",(P96+S96)/(I96-Q96),IF(AND(D96&lt;&gt;"",(P96+S96)/(I96-Q96)&gt;=50%),(P96+S96)/(I96-Q96),"")))</f>
      </c>
      <c r="W96" s="26">
        <f>IF(I96=O96,"",IF(V96="",0,(P96+Q96+S96-O96)/(I96-O96)))</f>
      </c>
      <c r="X96" s="49"/>
      <c r="Y96" s="49"/>
      <c r="Z96" s="49"/>
      <c r="AA96" s="49"/>
      <c r="AB96" s="50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</row>
    <row r="97" spans="1:41" s="39" customFormat="1" ht="18.75" customHeight="1">
      <c r="A97" s="32"/>
      <c r="B97" s="136" t="s">
        <v>51</v>
      </c>
      <c r="C97" s="14" t="s">
        <v>2</v>
      </c>
      <c r="D97" s="29"/>
      <c r="E97" s="16" t="s">
        <v>27</v>
      </c>
      <c r="F97" s="15"/>
      <c r="G97" s="15"/>
      <c r="H97" s="15"/>
      <c r="I97" s="17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8"/>
      <c r="W97" s="18"/>
      <c r="X97" s="30"/>
      <c r="Y97" s="30"/>
      <c r="Z97" s="30"/>
      <c r="AA97" s="30"/>
      <c r="AB97" s="34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</row>
    <row r="98" spans="1:41" s="39" customFormat="1" ht="17.25" customHeight="1">
      <c r="A98" s="32">
        <v>7</v>
      </c>
      <c r="B98" s="136"/>
      <c r="C98" s="20" t="str">
        <f>IF(A98="","VARA",VLOOKUP(A98,'[1]varas'!$A$4:$B$67,2))</f>
        <v>7ª VT Recife</v>
      </c>
      <c r="D98" s="15"/>
      <c r="E98" s="16"/>
      <c r="F98" s="15">
        <f>57+37+21+17</f>
        <v>132</v>
      </c>
      <c r="G98" s="15">
        <v>19</v>
      </c>
      <c r="H98" s="15">
        <v>12</v>
      </c>
      <c r="I98" s="17">
        <f>SUM(F98:H98)</f>
        <v>163</v>
      </c>
      <c r="J98" s="15">
        <v>49</v>
      </c>
      <c r="K98" s="15">
        <v>20</v>
      </c>
      <c r="L98" s="15">
        <v>21</v>
      </c>
      <c r="M98" s="15">
        <v>17</v>
      </c>
      <c r="N98" s="15">
        <v>0</v>
      </c>
      <c r="O98" s="15">
        <v>37</v>
      </c>
      <c r="P98" s="15">
        <f>SUM(J98:O98)</f>
        <v>144</v>
      </c>
      <c r="Q98" s="15">
        <v>15</v>
      </c>
      <c r="R98" s="15">
        <v>4</v>
      </c>
      <c r="S98" s="15">
        <v>0</v>
      </c>
      <c r="T98" s="15">
        <v>0</v>
      </c>
      <c r="U98" s="15">
        <v>231</v>
      </c>
      <c r="V98" s="18"/>
      <c r="W98" s="18"/>
      <c r="X98" s="30"/>
      <c r="Y98" s="30"/>
      <c r="Z98" s="30"/>
      <c r="AA98" s="30"/>
      <c r="AB98" s="34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</row>
    <row r="99" spans="1:41" s="53" customFormat="1" ht="15.75" customHeight="1">
      <c r="A99" s="47"/>
      <c r="B99" s="136"/>
      <c r="C99" s="21" t="s">
        <v>12</v>
      </c>
      <c r="D99" s="51"/>
      <c r="E99" s="52"/>
      <c r="F99" s="24">
        <f>SUM(F97:F98)</f>
        <v>132</v>
      </c>
      <c r="G99" s="24">
        <f>SUM(G97:G98)</f>
        <v>19</v>
      </c>
      <c r="H99" s="24">
        <f>SUM(H97:H98)</f>
        <v>12</v>
      </c>
      <c r="I99" s="25">
        <f>SUM(F99:H99)</f>
        <v>163</v>
      </c>
      <c r="J99" s="24">
        <f aca="true" t="shared" si="28" ref="J99:O99">SUM(J97:J98)</f>
        <v>49</v>
      </c>
      <c r="K99" s="24">
        <f t="shared" si="28"/>
        <v>20</v>
      </c>
      <c r="L99" s="24">
        <f t="shared" si="28"/>
        <v>21</v>
      </c>
      <c r="M99" s="24">
        <f t="shared" si="28"/>
        <v>17</v>
      </c>
      <c r="N99" s="24">
        <f t="shared" si="28"/>
        <v>0</v>
      </c>
      <c r="O99" s="24">
        <f t="shared" si="28"/>
        <v>37</v>
      </c>
      <c r="P99" s="24">
        <f>SUM(J99:O99)</f>
        <v>144</v>
      </c>
      <c r="Q99" s="24">
        <f>SUM(Q97:Q98)</f>
        <v>15</v>
      </c>
      <c r="R99" s="24">
        <f>SUM(R97:R98)</f>
        <v>4</v>
      </c>
      <c r="S99" s="24">
        <f>SUM(S97:S98)</f>
        <v>0</v>
      </c>
      <c r="T99" s="24">
        <f>SUM(T97:T98)</f>
        <v>0</v>
      </c>
      <c r="U99" s="24">
        <f>SUM(U97:U98)</f>
        <v>231</v>
      </c>
      <c r="V99" s="26">
        <f>IF(I99-Q99=0,"",IF(D99="",(P99+S99)/(I99-Q99),IF(AND(D99&lt;&gt;"",(P99+S99)/(I99-Q99)&gt;=50%),(P99+S99)/(I99-Q99),"")))</f>
        <v>0.972972972972973</v>
      </c>
      <c r="W99" s="26">
        <f>IF(I99=O99,"",IF(V99="",0,(P99+Q99+S99-O99)/(I99-O99)))</f>
        <v>0.9682539682539683</v>
      </c>
      <c r="X99" s="49"/>
      <c r="Y99" s="49"/>
      <c r="Z99" s="49"/>
      <c r="AA99" s="49"/>
      <c r="AB99" s="50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</row>
    <row r="100" spans="1:41" s="39" customFormat="1" ht="20.25" customHeight="1">
      <c r="A100" s="32"/>
      <c r="B100" s="136" t="s">
        <v>52</v>
      </c>
      <c r="C100" s="14" t="s">
        <v>158</v>
      </c>
      <c r="D100" s="29"/>
      <c r="E100" s="16" t="s">
        <v>27</v>
      </c>
      <c r="F100" s="15"/>
      <c r="G100" s="15"/>
      <c r="H100" s="15"/>
      <c r="I100" s="17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8"/>
      <c r="W100" s="18"/>
      <c r="X100" s="30"/>
      <c r="Y100" s="30"/>
      <c r="Z100" s="30"/>
      <c r="AA100" s="30"/>
      <c r="AB100" s="34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</row>
    <row r="101" spans="1:41" s="39" customFormat="1" ht="17.25" customHeight="1">
      <c r="A101" s="32">
        <v>7</v>
      </c>
      <c r="B101" s="136"/>
      <c r="C101" s="20" t="str">
        <f>IF(A101="","VARA",VLOOKUP(A101,'[1]varas'!$A$4:$B$67,2))</f>
        <v>7ª VT Recife</v>
      </c>
      <c r="D101" s="29"/>
      <c r="E101" s="16"/>
      <c r="F101" s="15">
        <f>28+19+6</f>
        <v>53</v>
      </c>
      <c r="G101" s="15">
        <v>16</v>
      </c>
      <c r="H101" s="15">
        <v>0</v>
      </c>
      <c r="I101" s="17">
        <f>SUM(F101:H101)</f>
        <v>69</v>
      </c>
      <c r="J101" s="15">
        <v>23</v>
      </c>
      <c r="K101" s="15">
        <v>4</v>
      </c>
      <c r="L101" s="15">
        <v>6</v>
      </c>
      <c r="M101" s="15">
        <v>0</v>
      </c>
      <c r="N101" s="15">
        <v>0</v>
      </c>
      <c r="O101" s="15">
        <v>19</v>
      </c>
      <c r="P101" s="15">
        <f>SUM(J101:O101)</f>
        <v>52</v>
      </c>
      <c r="Q101" s="15">
        <v>8</v>
      </c>
      <c r="R101" s="15">
        <v>9</v>
      </c>
      <c r="S101" s="15">
        <v>0</v>
      </c>
      <c r="T101" s="15">
        <v>0</v>
      </c>
      <c r="U101" s="15">
        <v>123</v>
      </c>
      <c r="V101" s="18"/>
      <c r="W101" s="18"/>
      <c r="X101" s="30"/>
      <c r="Y101" s="30"/>
      <c r="Z101" s="30"/>
      <c r="AA101" s="30"/>
      <c r="AB101" s="34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</row>
    <row r="102" spans="1:41" s="53" customFormat="1" ht="14.25" customHeight="1">
      <c r="A102" s="47"/>
      <c r="B102" s="136"/>
      <c r="C102" s="20" t="s">
        <v>12</v>
      </c>
      <c r="D102" s="24"/>
      <c r="E102" s="48"/>
      <c r="F102" s="24">
        <f>SUM(F100:F101)</f>
        <v>53</v>
      </c>
      <c r="G102" s="24">
        <f>SUM(G100:G101)</f>
        <v>16</v>
      </c>
      <c r="H102" s="24">
        <f>SUM(H100:H101)</f>
        <v>0</v>
      </c>
      <c r="I102" s="40">
        <f>SUM(F102:H102)</f>
        <v>69</v>
      </c>
      <c r="J102" s="24">
        <f aca="true" t="shared" si="29" ref="J102:O102">SUM(J100:J101)</f>
        <v>23</v>
      </c>
      <c r="K102" s="24">
        <f t="shared" si="29"/>
        <v>4</v>
      </c>
      <c r="L102" s="24">
        <f t="shared" si="29"/>
        <v>6</v>
      </c>
      <c r="M102" s="24">
        <f t="shared" si="29"/>
        <v>0</v>
      </c>
      <c r="N102" s="24">
        <f t="shared" si="29"/>
        <v>0</v>
      </c>
      <c r="O102" s="24">
        <f t="shared" si="29"/>
        <v>19</v>
      </c>
      <c r="P102" s="24">
        <f>SUM(J102:O102)</f>
        <v>52</v>
      </c>
      <c r="Q102" s="24">
        <f>SUM(Q100:Q101)</f>
        <v>8</v>
      </c>
      <c r="R102" s="24">
        <f>SUM(R100:R101)</f>
        <v>9</v>
      </c>
      <c r="S102" s="24">
        <f>SUM(S100:S101)</f>
        <v>0</v>
      </c>
      <c r="T102" s="24">
        <f>SUM(T100:T101)</f>
        <v>0</v>
      </c>
      <c r="U102" s="24">
        <f>SUM(U100:U101)</f>
        <v>123</v>
      </c>
      <c r="V102" s="26">
        <f>IF(I102-Q102=0,"",IF(D102="",(P102+S102)/(I102-Q102),IF(AND(D102&lt;&gt;"",(P102+S102)/(I102-Q102)&gt;=50%),(P102+S102)/(I102-Q102),"")))</f>
        <v>0.8524590163934426</v>
      </c>
      <c r="W102" s="26">
        <f>IF(I102=O102,"",IF(V102="",0,(P102+Q102+S102-O102)/(I102-O102)))</f>
        <v>0.82</v>
      </c>
      <c r="X102" s="49"/>
      <c r="Y102" s="49"/>
      <c r="Z102" s="49"/>
      <c r="AA102" s="49"/>
      <c r="AB102" s="50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</row>
    <row r="103" spans="1:41" s="39" customFormat="1" ht="23.25" customHeight="1">
      <c r="A103" s="32"/>
      <c r="B103" s="136" t="s">
        <v>53</v>
      </c>
      <c r="C103" s="14" t="s">
        <v>2</v>
      </c>
      <c r="D103" s="29"/>
      <c r="E103" s="16" t="s">
        <v>27</v>
      </c>
      <c r="F103" s="15"/>
      <c r="G103" s="15"/>
      <c r="H103" s="15"/>
      <c r="I103" s="17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8"/>
      <c r="W103" s="18"/>
      <c r="X103" s="30"/>
      <c r="Y103" s="30"/>
      <c r="Z103" s="30"/>
      <c r="AA103" s="30"/>
      <c r="AB103" s="34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</row>
    <row r="104" spans="1:41" s="39" customFormat="1" ht="18" customHeight="1">
      <c r="A104" s="32">
        <v>57</v>
      </c>
      <c r="B104" s="136"/>
      <c r="C104" s="20" t="str">
        <f>IF(A104="","VARA",VLOOKUP(A104,'[1]varas'!$A$4:$B$67,2))</f>
        <v>VT S. Lourenço </v>
      </c>
      <c r="D104" s="15"/>
      <c r="E104" s="16"/>
      <c r="F104" s="15">
        <f>4+9+11</f>
        <v>24</v>
      </c>
      <c r="G104" s="15">
        <v>0</v>
      </c>
      <c r="H104" s="15">
        <v>72</v>
      </c>
      <c r="I104" s="17">
        <f>SUM(F104:H104)</f>
        <v>96</v>
      </c>
      <c r="J104" s="15">
        <v>36</v>
      </c>
      <c r="K104" s="15">
        <v>4</v>
      </c>
      <c r="L104" s="15">
        <v>9</v>
      </c>
      <c r="M104" s="15">
        <v>2</v>
      </c>
      <c r="N104" s="15">
        <v>0</v>
      </c>
      <c r="O104" s="15">
        <v>9</v>
      </c>
      <c r="P104" s="15">
        <f>SUM(J104:O104)</f>
        <v>60</v>
      </c>
      <c r="Q104" s="15">
        <v>0</v>
      </c>
      <c r="R104" s="15">
        <v>36</v>
      </c>
      <c r="S104" s="15">
        <v>0</v>
      </c>
      <c r="T104" s="15">
        <v>0</v>
      </c>
      <c r="U104" s="15">
        <v>105</v>
      </c>
      <c r="V104" s="18"/>
      <c r="W104" s="18"/>
      <c r="X104" s="30"/>
      <c r="Y104" s="30"/>
      <c r="Z104" s="30"/>
      <c r="AA104" s="30"/>
      <c r="AB104" s="34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</row>
    <row r="105" spans="1:41" s="53" customFormat="1" ht="15.75" customHeight="1">
      <c r="A105" s="47"/>
      <c r="B105" s="136"/>
      <c r="C105" s="21" t="s">
        <v>12</v>
      </c>
      <c r="D105" s="51"/>
      <c r="E105" s="52"/>
      <c r="F105" s="24">
        <f>SUM(F103:F104)</f>
        <v>24</v>
      </c>
      <c r="G105" s="24">
        <f>SUM(G103:G104)</f>
        <v>0</v>
      </c>
      <c r="H105" s="24">
        <f>SUM(H103:H104)</f>
        <v>72</v>
      </c>
      <c r="I105" s="25">
        <f>SUM(F105:H105)</f>
        <v>96</v>
      </c>
      <c r="J105" s="24">
        <f aca="true" t="shared" si="30" ref="J105:O105">SUM(J103:J104)</f>
        <v>36</v>
      </c>
      <c r="K105" s="24">
        <f t="shared" si="30"/>
        <v>4</v>
      </c>
      <c r="L105" s="24">
        <f t="shared" si="30"/>
        <v>9</v>
      </c>
      <c r="M105" s="24">
        <f t="shared" si="30"/>
        <v>2</v>
      </c>
      <c r="N105" s="24">
        <f t="shared" si="30"/>
        <v>0</v>
      </c>
      <c r="O105" s="24">
        <f t="shared" si="30"/>
        <v>9</v>
      </c>
      <c r="P105" s="24">
        <f>SUM(J105:O105)</f>
        <v>60</v>
      </c>
      <c r="Q105" s="24">
        <f>SUM(Q103:Q104)</f>
        <v>0</v>
      </c>
      <c r="R105" s="24">
        <f>SUM(R103:R104)</f>
        <v>36</v>
      </c>
      <c r="S105" s="24">
        <f>SUM(S103:S104)</f>
        <v>0</v>
      </c>
      <c r="T105" s="24">
        <f>SUM(T103:T104)</f>
        <v>0</v>
      </c>
      <c r="U105" s="24">
        <f>SUM(U103:U104)</f>
        <v>105</v>
      </c>
      <c r="V105" s="26">
        <f>IF(I105-Q105=0,"",IF(D105="",(P105+S105)/(I105-Q105),IF(AND(D105&lt;&gt;"",(P105+S105)/(I105-Q105)&gt;=50%),(P105+S105)/(I105-Q105),"")))</f>
        <v>0.625</v>
      </c>
      <c r="W105" s="26">
        <f>IF(I105=O105,"",IF(V105="",0,(P105+Q105+S105-O105)/(I105-O105)))</f>
        <v>0.5862068965517241</v>
      </c>
      <c r="X105" s="49"/>
      <c r="Y105" s="49"/>
      <c r="Z105" s="49"/>
      <c r="AA105" s="49"/>
      <c r="AB105" s="50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</row>
    <row r="106" spans="1:41" s="39" customFormat="1" ht="23.25" customHeight="1">
      <c r="A106" s="32"/>
      <c r="B106" s="136" t="s">
        <v>54</v>
      </c>
      <c r="C106" s="14" t="s">
        <v>158</v>
      </c>
      <c r="D106" s="29" t="s">
        <v>202</v>
      </c>
      <c r="E106" s="16" t="s">
        <v>212</v>
      </c>
      <c r="F106" s="15"/>
      <c r="G106" s="15"/>
      <c r="H106" s="15"/>
      <c r="I106" s="17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8"/>
      <c r="W106" s="18"/>
      <c r="X106" s="30"/>
      <c r="Y106" s="30"/>
      <c r="Z106" s="30"/>
      <c r="AA106" s="30"/>
      <c r="AB106" s="34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</row>
    <row r="107" spans="1:41" s="39" customFormat="1" ht="18" customHeight="1">
      <c r="A107" s="32">
        <v>5</v>
      </c>
      <c r="B107" s="136"/>
      <c r="C107" s="20" t="str">
        <f>IF(A107="","VARA",VLOOKUP(A107,'[1]varas'!$A$4:$B$67,2))</f>
        <v>5ª VT Recife</v>
      </c>
      <c r="D107" s="15"/>
      <c r="E107" s="16"/>
      <c r="F107" s="15">
        <f>24+28</f>
        <v>52</v>
      </c>
      <c r="G107" s="15">
        <v>7</v>
      </c>
      <c r="H107" s="15">
        <v>9</v>
      </c>
      <c r="I107" s="17">
        <f>SUM(F107:H107)</f>
        <v>68</v>
      </c>
      <c r="J107" s="15">
        <v>12</v>
      </c>
      <c r="K107" s="15">
        <v>5</v>
      </c>
      <c r="L107" s="15">
        <v>0</v>
      </c>
      <c r="M107" s="15">
        <v>0</v>
      </c>
      <c r="N107" s="15">
        <v>0</v>
      </c>
      <c r="O107" s="15">
        <v>28</v>
      </c>
      <c r="P107" s="15">
        <f>SUM(J107:O107)</f>
        <v>45</v>
      </c>
      <c r="Q107" s="15">
        <v>6</v>
      </c>
      <c r="R107" s="15">
        <v>17</v>
      </c>
      <c r="S107" s="15">
        <v>0</v>
      </c>
      <c r="T107" s="15">
        <v>0</v>
      </c>
      <c r="U107" s="15">
        <v>107</v>
      </c>
      <c r="V107" s="18"/>
      <c r="W107" s="18"/>
      <c r="X107" s="30"/>
      <c r="Y107" s="30"/>
      <c r="Z107" s="30"/>
      <c r="AA107" s="30"/>
      <c r="AB107" s="34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</row>
    <row r="108" spans="1:41" s="39" customFormat="1" ht="18" customHeight="1">
      <c r="A108" s="32"/>
      <c r="B108" s="136"/>
      <c r="C108" s="21" t="s">
        <v>12</v>
      </c>
      <c r="D108" s="33"/>
      <c r="E108" s="23"/>
      <c r="F108" s="24">
        <f>SUM(F106:F107)</f>
        <v>52</v>
      </c>
      <c r="G108" s="24">
        <f>SUM(G106:G107)</f>
        <v>7</v>
      </c>
      <c r="H108" s="24">
        <f>SUM(H106:H107)</f>
        <v>9</v>
      </c>
      <c r="I108" s="40">
        <f>SUM(F108:H108)</f>
        <v>68</v>
      </c>
      <c r="J108" s="24">
        <f aca="true" t="shared" si="31" ref="J108:O108">SUM(J106:J107)</f>
        <v>12</v>
      </c>
      <c r="K108" s="24">
        <f t="shared" si="31"/>
        <v>5</v>
      </c>
      <c r="L108" s="24">
        <f t="shared" si="31"/>
        <v>0</v>
      </c>
      <c r="M108" s="24">
        <f t="shared" si="31"/>
        <v>0</v>
      </c>
      <c r="N108" s="24">
        <f t="shared" si="31"/>
        <v>0</v>
      </c>
      <c r="O108" s="24">
        <f t="shared" si="31"/>
        <v>28</v>
      </c>
      <c r="P108" s="24">
        <f>SUM(J108:O108)</f>
        <v>45</v>
      </c>
      <c r="Q108" s="24">
        <f>SUM(Q106:Q107)</f>
        <v>6</v>
      </c>
      <c r="R108" s="24">
        <f>SUM(R106:R107)</f>
        <v>17</v>
      </c>
      <c r="S108" s="24">
        <f>SUM(S106:S107)</f>
        <v>0</v>
      </c>
      <c r="T108" s="24">
        <f>SUM(T106:T107)</f>
        <v>0</v>
      </c>
      <c r="U108" s="24">
        <f>SUM(U106:U107)</f>
        <v>107</v>
      </c>
      <c r="V108" s="26">
        <f>IF(I108-Q108=0,"",IF(D108="",(P108+S108)/(I108-Q108),IF(AND(D108&lt;&gt;"",(P108+S108)/(I108-Q108)&gt;=50%),(P108+S108)/(I108-Q108),"")))</f>
        <v>0.7258064516129032</v>
      </c>
      <c r="W108" s="26">
        <f>IF(I108=O108,"",IF(V108="",0,(P108+Q108+S108-O108)/(I108-O108)))</f>
        <v>0.575</v>
      </c>
      <c r="X108" s="30"/>
      <c r="Y108" s="30"/>
      <c r="Z108" s="30"/>
      <c r="AA108" s="30"/>
      <c r="AB108" s="34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</row>
    <row r="109" spans="1:41" s="39" customFormat="1" ht="19.5" customHeight="1">
      <c r="A109" s="32"/>
      <c r="B109" s="136" t="s">
        <v>55</v>
      </c>
      <c r="C109" s="14" t="s">
        <v>2</v>
      </c>
      <c r="D109" s="15" t="s">
        <v>30</v>
      </c>
      <c r="E109" s="16" t="s">
        <v>196</v>
      </c>
      <c r="F109" s="15"/>
      <c r="G109" s="15"/>
      <c r="H109" s="15"/>
      <c r="I109" s="17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8"/>
      <c r="W109" s="18"/>
      <c r="X109" s="30"/>
      <c r="Y109" s="30"/>
      <c r="Z109" s="30"/>
      <c r="AA109" s="30"/>
      <c r="AB109" s="34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</row>
    <row r="110" spans="1:41" s="39" customFormat="1" ht="19.5" customHeight="1">
      <c r="A110" s="32">
        <v>57</v>
      </c>
      <c r="B110" s="136"/>
      <c r="C110" s="20" t="str">
        <f>IF(A110="","VARA",VLOOKUP(A110,'[1]varas'!$A$4:$B$67,2))</f>
        <v>VT S. Lourenço </v>
      </c>
      <c r="D110" s="15"/>
      <c r="E110" s="16"/>
      <c r="F110" s="15">
        <f>40+36+6+11+6</f>
        <v>99</v>
      </c>
      <c r="G110" s="15">
        <v>3</v>
      </c>
      <c r="H110" s="15">
        <v>17</v>
      </c>
      <c r="I110" s="17">
        <f>SUM(F110:H110)</f>
        <v>119</v>
      </c>
      <c r="J110" s="15">
        <v>14</v>
      </c>
      <c r="K110" s="15">
        <v>6</v>
      </c>
      <c r="L110" s="15">
        <v>6</v>
      </c>
      <c r="M110" s="15">
        <v>11</v>
      </c>
      <c r="N110" s="15">
        <v>6</v>
      </c>
      <c r="O110" s="15">
        <v>36</v>
      </c>
      <c r="P110" s="15">
        <f>SUM(J110:O110)</f>
        <v>79</v>
      </c>
      <c r="Q110" s="15">
        <v>15</v>
      </c>
      <c r="R110" s="15">
        <v>25</v>
      </c>
      <c r="S110" s="15">
        <v>0</v>
      </c>
      <c r="T110" s="15">
        <v>0</v>
      </c>
      <c r="U110" s="15">
        <v>166</v>
      </c>
      <c r="V110" s="18"/>
      <c r="W110" s="18"/>
      <c r="X110" s="30"/>
      <c r="Y110" s="30"/>
      <c r="Z110" s="30"/>
      <c r="AA110" s="30"/>
      <c r="AB110" s="34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</row>
    <row r="111" spans="1:41" s="53" customFormat="1" ht="17.25" customHeight="1">
      <c r="A111" s="47"/>
      <c r="B111" s="136"/>
      <c r="C111" s="20" t="s">
        <v>12</v>
      </c>
      <c r="D111" s="24"/>
      <c r="E111" s="48"/>
      <c r="F111" s="24">
        <f>SUM(F109:F110)</f>
        <v>99</v>
      </c>
      <c r="G111" s="24">
        <f>SUM(G109:G110)</f>
        <v>3</v>
      </c>
      <c r="H111" s="24">
        <f>SUM(H109:H110)</f>
        <v>17</v>
      </c>
      <c r="I111" s="40">
        <f>SUM(F111:H111)</f>
        <v>119</v>
      </c>
      <c r="J111" s="24">
        <f aca="true" t="shared" si="32" ref="J111:O111">SUM(J109:J110)</f>
        <v>14</v>
      </c>
      <c r="K111" s="24">
        <f t="shared" si="32"/>
        <v>6</v>
      </c>
      <c r="L111" s="24">
        <f t="shared" si="32"/>
        <v>6</v>
      </c>
      <c r="M111" s="24">
        <f t="shared" si="32"/>
        <v>11</v>
      </c>
      <c r="N111" s="24">
        <f t="shared" si="32"/>
        <v>6</v>
      </c>
      <c r="O111" s="24">
        <f t="shared" si="32"/>
        <v>36</v>
      </c>
      <c r="P111" s="24">
        <f>SUM(J111:O111)</f>
        <v>79</v>
      </c>
      <c r="Q111" s="24">
        <f>SUM(Q109:Q110)</f>
        <v>15</v>
      </c>
      <c r="R111" s="24">
        <f>SUM(R109:R110)</f>
        <v>25</v>
      </c>
      <c r="S111" s="24">
        <f>SUM(S109:S110)</f>
        <v>0</v>
      </c>
      <c r="T111" s="24">
        <f>SUM(T109:T110)</f>
        <v>0</v>
      </c>
      <c r="U111" s="24">
        <f>SUM(U109:U110)</f>
        <v>166</v>
      </c>
      <c r="V111" s="26">
        <f>IF(I111-Q111=0,"",IF(D111="",(P111+S111)/(I111-Q111),IF(AND(D111&lt;&gt;"",(P111+S111)/(I111-Q111)&gt;=50%),(P111+S111)/(I111-Q111),"")))</f>
        <v>0.7596153846153846</v>
      </c>
      <c r="W111" s="26">
        <f>IF(I111=O111,"",IF(V111="",0,(P111+Q111+S111-O111)/(I111-O111)))</f>
        <v>0.6987951807228916</v>
      </c>
      <c r="X111" s="49"/>
      <c r="Y111" s="49"/>
      <c r="Z111" s="49"/>
      <c r="AA111" s="49"/>
      <c r="AB111" s="50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</row>
    <row r="112" spans="1:41" s="39" customFormat="1" ht="20.25" customHeight="1">
      <c r="A112" s="32"/>
      <c r="B112" s="136" t="s">
        <v>56</v>
      </c>
      <c r="C112" s="14" t="s">
        <v>2</v>
      </c>
      <c r="D112" s="29" t="s">
        <v>30</v>
      </c>
      <c r="E112" s="16" t="s">
        <v>213</v>
      </c>
      <c r="F112" s="15"/>
      <c r="G112" s="15"/>
      <c r="H112" s="15"/>
      <c r="I112" s="17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8"/>
      <c r="W112" s="18"/>
      <c r="X112" s="30"/>
      <c r="Y112" s="30"/>
      <c r="Z112" s="30"/>
      <c r="AA112" s="30"/>
      <c r="AB112" s="34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</row>
    <row r="113" spans="1:41" s="39" customFormat="1" ht="17.25" customHeight="1">
      <c r="A113" s="32">
        <v>23</v>
      </c>
      <c r="B113" s="136"/>
      <c r="C113" s="20" t="str">
        <f>IF(A113="","VARA",VLOOKUP(A113,'[1]varas'!$A$4:$B$67,2))</f>
        <v>23ª VT Recife</v>
      </c>
      <c r="D113" s="15"/>
      <c r="E113" s="16"/>
      <c r="F113" s="15">
        <f>14+7+9+4</f>
        <v>34</v>
      </c>
      <c r="G113" s="15">
        <v>15</v>
      </c>
      <c r="H113" s="15">
        <v>3</v>
      </c>
      <c r="I113" s="17">
        <f>SUM(F113:H113)</f>
        <v>52</v>
      </c>
      <c r="J113" s="15">
        <v>12</v>
      </c>
      <c r="K113" s="15">
        <v>6</v>
      </c>
      <c r="L113" s="15">
        <v>9</v>
      </c>
      <c r="M113" s="15">
        <v>4</v>
      </c>
      <c r="N113" s="15">
        <v>0</v>
      </c>
      <c r="O113" s="15">
        <v>7</v>
      </c>
      <c r="P113" s="15">
        <f>SUM(J113:O113)</f>
        <v>38</v>
      </c>
      <c r="Q113" s="15">
        <v>5</v>
      </c>
      <c r="R113" s="15">
        <v>9</v>
      </c>
      <c r="S113" s="15">
        <v>0</v>
      </c>
      <c r="T113" s="15">
        <v>0</v>
      </c>
      <c r="U113" s="15">
        <v>31</v>
      </c>
      <c r="V113" s="18"/>
      <c r="W113" s="18"/>
      <c r="X113" s="30"/>
      <c r="Y113" s="30"/>
      <c r="Z113" s="30"/>
      <c r="AA113" s="30"/>
      <c r="AB113" s="34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</row>
    <row r="114" spans="1:41" s="53" customFormat="1" ht="17.25" customHeight="1">
      <c r="A114" s="47"/>
      <c r="B114" s="130"/>
      <c r="C114" s="21" t="s">
        <v>12</v>
      </c>
      <c r="D114" s="51"/>
      <c r="E114" s="52"/>
      <c r="F114" s="24">
        <f>SUM(F112:F113)</f>
        <v>34</v>
      </c>
      <c r="G114" s="24">
        <f>SUM(G112:G113)</f>
        <v>15</v>
      </c>
      <c r="H114" s="24">
        <f>SUM(H112:H113)</f>
        <v>3</v>
      </c>
      <c r="I114" s="25">
        <f>SUM(F114:H114)</f>
        <v>52</v>
      </c>
      <c r="J114" s="24">
        <f aca="true" t="shared" si="33" ref="J114:O114">SUM(J112:J113)</f>
        <v>12</v>
      </c>
      <c r="K114" s="24">
        <f t="shared" si="33"/>
        <v>6</v>
      </c>
      <c r="L114" s="24">
        <f t="shared" si="33"/>
        <v>9</v>
      </c>
      <c r="M114" s="24">
        <f t="shared" si="33"/>
        <v>4</v>
      </c>
      <c r="N114" s="24">
        <f t="shared" si="33"/>
        <v>0</v>
      </c>
      <c r="O114" s="24">
        <f t="shared" si="33"/>
        <v>7</v>
      </c>
      <c r="P114" s="24">
        <f>SUM(J114:O114)</f>
        <v>38</v>
      </c>
      <c r="Q114" s="24">
        <f>SUM(Q112:Q113)</f>
        <v>5</v>
      </c>
      <c r="R114" s="24">
        <f>SUM(R112:R113)</f>
        <v>9</v>
      </c>
      <c r="S114" s="24">
        <f>SUM(S112:S113)</f>
        <v>0</v>
      </c>
      <c r="T114" s="24">
        <f>SUM(T112:T113)</f>
        <v>0</v>
      </c>
      <c r="U114" s="24">
        <f>SUM(U112:U113)</f>
        <v>31</v>
      </c>
      <c r="V114" s="26">
        <f>IF(I114-Q114=0,"",IF(D114="",(P114+S114)/(I114-Q114),IF(AND(D114&lt;&gt;"",(P114+S114)/(I114-Q114)&gt;=50%),(P114+S114)/(I114-Q114),"")))</f>
        <v>0.8085106382978723</v>
      </c>
      <c r="W114" s="26">
        <f>IF(I114=O114,"",IF(V114="",0,(P114+Q114+S114-O114)/(I114-O114)))</f>
        <v>0.8</v>
      </c>
      <c r="X114" s="49"/>
      <c r="Y114" s="49"/>
      <c r="Z114" s="49"/>
      <c r="AA114" s="49"/>
      <c r="AB114" s="50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</row>
    <row r="115" spans="1:41" s="39" customFormat="1" ht="19.5" customHeight="1">
      <c r="A115" s="32"/>
      <c r="B115" s="137" t="s">
        <v>57</v>
      </c>
      <c r="C115" s="105" t="s">
        <v>155</v>
      </c>
      <c r="D115" s="15" t="s">
        <v>30</v>
      </c>
      <c r="E115" s="16" t="s">
        <v>214</v>
      </c>
      <c r="F115" s="15"/>
      <c r="G115" s="15"/>
      <c r="H115" s="15"/>
      <c r="I115" s="17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8"/>
      <c r="W115" s="18"/>
      <c r="X115" s="30"/>
      <c r="Y115" s="30"/>
      <c r="Z115" s="30"/>
      <c r="AA115" s="30"/>
      <c r="AB115" s="34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</row>
    <row r="116" spans="1:41" s="39" customFormat="1" ht="18" customHeight="1">
      <c r="A116" s="32">
        <v>3</v>
      </c>
      <c r="B116" s="138"/>
      <c r="C116" s="106" t="str">
        <f>IF(A116="","VARA",VLOOKUP(A116,'[1]varas'!$A$4:$B$67,2))</f>
        <v>3ª VT Recife</v>
      </c>
      <c r="D116" s="15"/>
      <c r="E116" s="16"/>
      <c r="F116" s="15">
        <f>8+13+2+6</f>
        <v>29</v>
      </c>
      <c r="G116" s="15">
        <v>23</v>
      </c>
      <c r="H116" s="15">
        <v>80</v>
      </c>
      <c r="I116" s="17">
        <f>SUM(F116:H116)</f>
        <v>132</v>
      </c>
      <c r="J116" s="15">
        <v>26</v>
      </c>
      <c r="K116" s="15">
        <v>0</v>
      </c>
      <c r="L116" s="15">
        <v>3</v>
      </c>
      <c r="M116" s="15">
        <v>7</v>
      </c>
      <c r="N116" s="15">
        <v>0</v>
      </c>
      <c r="O116" s="15">
        <v>13</v>
      </c>
      <c r="P116" s="15">
        <f>SUM(J116:O116)</f>
        <v>49</v>
      </c>
      <c r="Q116" s="15">
        <v>12</v>
      </c>
      <c r="R116" s="15">
        <v>70</v>
      </c>
      <c r="S116" s="15">
        <v>0</v>
      </c>
      <c r="T116" s="15">
        <v>1</v>
      </c>
      <c r="U116" s="15">
        <v>38</v>
      </c>
      <c r="V116" s="18"/>
      <c r="W116" s="18"/>
      <c r="X116" s="30"/>
      <c r="Y116" s="30"/>
      <c r="Z116" s="30"/>
      <c r="AA116" s="30"/>
      <c r="AB116" s="34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</row>
    <row r="117" spans="1:41" s="39" customFormat="1" ht="17.25" customHeight="1">
      <c r="A117" s="32"/>
      <c r="B117" s="133"/>
      <c r="C117" s="107" t="s">
        <v>12</v>
      </c>
      <c r="D117" s="33"/>
      <c r="E117" s="23"/>
      <c r="F117" s="24">
        <f>SUM(F115:F116)</f>
        <v>29</v>
      </c>
      <c r="G117" s="24">
        <f>SUM(G115:G116)</f>
        <v>23</v>
      </c>
      <c r="H117" s="24">
        <f>SUM(H115:H116)</f>
        <v>80</v>
      </c>
      <c r="I117" s="40">
        <f>SUM(F117:H117)</f>
        <v>132</v>
      </c>
      <c r="J117" s="24">
        <f aca="true" t="shared" si="34" ref="J117:O117">SUM(J115:J116)</f>
        <v>26</v>
      </c>
      <c r="K117" s="24">
        <f t="shared" si="34"/>
        <v>0</v>
      </c>
      <c r="L117" s="24">
        <f t="shared" si="34"/>
        <v>3</v>
      </c>
      <c r="M117" s="24">
        <f t="shared" si="34"/>
        <v>7</v>
      </c>
      <c r="N117" s="24">
        <f t="shared" si="34"/>
        <v>0</v>
      </c>
      <c r="O117" s="24">
        <f t="shared" si="34"/>
        <v>13</v>
      </c>
      <c r="P117" s="24">
        <f>SUM(J117:O117)</f>
        <v>49</v>
      </c>
      <c r="Q117" s="24">
        <f>SUM(Q115:Q116)</f>
        <v>12</v>
      </c>
      <c r="R117" s="24">
        <f>SUM(R115:R116)</f>
        <v>70</v>
      </c>
      <c r="S117" s="24">
        <f>SUM(S115:S116)</f>
        <v>0</v>
      </c>
      <c r="T117" s="24">
        <f>SUM(T115:T116)</f>
        <v>1</v>
      </c>
      <c r="U117" s="24">
        <f>SUM(U115:U116)</f>
        <v>38</v>
      </c>
      <c r="V117" s="26">
        <f>IF(I117-Q117=0,"",IF(D117="",(P117+S117)/(I117-Q117),IF(AND(D117&lt;&gt;"",(P117+S117)/(I117-Q117)&gt;=50%),(P117+S117)/(I117-Q117),"")))</f>
        <v>0.4083333333333333</v>
      </c>
      <c r="W117" s="26">
        <f>IF(I117=O117,"",IF(V117="",0,(P117+Q117+S117-O117)/(I117-O117)))</f>
        <v>0.40336134453781514</v>
      </c>
      <c r="X117" s="30"/>
      <c r="Y117" s="30"/>
      <c r="Z117" s="30"/>
      <c r="AA117" s="30"/>
      <c r="AB117" s="34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</row>
    <row r="118" spans="1:41" s="39" customFormat="1" ht="21.75" customHeight="1">
      <c r="A118" s="32"/>
      <c r="B118" s="137" t="s">
        <v>58</v>
      </c>
      <c r="C118" s="105" t="s">
        <v>155</v>
      </c>
      <c r="D118" s="102" t="s">
        <v>30</v>
      </c>
      <c r="E118" s="23" t="s">
        <v>197</v>
      </c>
      <c r="F118" s="23"/>
      <c r="G118" s="23"/>
      <c r="H118" s="23"/>
      <c r="I118" s="40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6"/>
      <c r="W118" s="26"/>
      <c r="X118" s="30"/>
      <c r="Y118" s="30"/>
      <c r="Z118" s="30"/>
      <c r="AA118" s="30"/>
      <c r="AB118" s="34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</row>
    <row r="119" spans="1:41" s="39" customFormat="1" ht="21" customHeight="1">
      <c r="A119" s="32">
        <v>2</v>
      </c>
      <c r="B119" s="138"/>
      <c r="C119" s="106" t="str">
        <f>IF(A119="","VARA",VLOOKUP(A119,'[1]varas'!$A$4:$B$67,2))</f>
        <v>2ª VT Recife</v>
      </c>
      <c r="D119" s="15"/>
      <c r="E119" s="16"/>
      <c r="F119" s="15">
        <v>4</v>
      </c>
      <c r="G119" s="15">
        <v>0</v>
      </c>
      <c r="H119" s="15">
        <v>21</v>
      </c>
      <c r="I119" s="17">
        <f aca="true" t="shared" si="35" ref="I119:I127">SUM(F119:H119)</f>
        <v>25</v>
      </c>
      <c r="J119" s="15">
        <v>5</v>
      </c>
      <c r="K119" s="15">
        <v>0</v>
      </c>
      <c r="L119" s="15">
        <v>0</v>
      </c>
      <c r="M119" s="15">
        <v>0</v>
      </c>
      <c r="N119" s="15">
        <v>0</v>
      </c>
      <c r="O119" s="15">
        <v>2</v>
      </c>
      <c r="P119" s="15">
        <f aca="true" t="shared" si="36" ref="P119:P127">SUM(J119:O119)</f>
        <v>7</v>
      </c>
      <c r="Q119" s="15">
        <v>4</v>
      </c>
      <c r="R119" s="15">
        <v>14</v>
      </c>
      <c r="S119" s="15">
        <v>0</v>
      </c>
      <c r="T119" s="15">
        <v>0</v>
      </c>
      <c r="U119" s="15">
        <v>16</v>
      </c>
      <c r="V119" s="18"/>
      <c r="W119" s="18"/>
      <c r="X119" s="30"/>
      <c r="Y119" s="30"/>
      <c r="Z119" s="30"/>
      <c r="AA119" s="30"/>
      <c r="AB119" s="34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</row>
    <row r="120" spans="1:41" s="39" customFormat="1" ht="21" customHeight="1">
      <c r="A120" s="32">
        <v>48</v>
      </c>
      <c r="B120" s="138"/>
      <c r="C120" s="106" t="str">
        <f>IF(A120="","VARA",VLOOKUP(A120,'[1]varas'!$A$4:$B$67,2))</f>
        <v>VT Catende</v>
      </c>
      <c r="D120" s="15"/>
      <c r="E120" s="16"/>
      <c r="F120" s="15">
        <v>0</v>
      </c>
      <c r="G120" s="15">
        <v>6</v>
      </c>
      <c r="H120" s="15">
        <v>0</v>
      </c>
      <c r="I120" s="17">
        <f>SUM(F120:H120)</f>
        <v>6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f>SUM(J120:O120)</f>
        <v>0</v>
      </c>
      <c r="Q120" s="15">
        <v>0</v>
      </c>
      <c r="R120" s="15">
        <v>6</v>
      </c>
      <c r="S120" s="15">
        <v>0</v>
      </c>
      <c r="T120" s="15">
        <v>0</v>
      </c>
      <c r="U120" s="15">
        <v>0</v>
      </c>
      <c r="V120" s="18"/>
      <c r="W120" s="18"/>
      <c r="X120" s="30"/>
      <c r="Y120" s="30"/>
      <c r="Z120" s="30"/>
      <c r="AA120" s="30"/>
      <c r="AB120" s="34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</row>
    <row r="121" spans="1:41" s="39" customFormat="1" ht="21" customHeight="1">
      <c r="A121" s="32">
        <v>38</v>
      </c>
      <c r="B121" s="138"/>
      <c r="C121" s="106" t="str">
        <f>IF(A121="","VARA",VLOOKUP(A121,'[1]varas'!$A$4:$B$67,2))</f>
        <v>1ª VT Olinda</v>
      </c>
      <c r="D121" s="15"/>
      <c r="E121" s="16"/>
      <c r="F121" s="15">
        <v>0</v>
      </c>
      <c r="G121" s="15">
        <v>0</v>
      </c>
      <c r="H121" s="15">
        <v>13</v>
      </c>
      <c r="I121" s="17">
        <f t="shared" si="35"/>
        <v>13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f t="shared" si="36"/>
        <v>0</v>
      </c>
      <c r="Q121" s="15">
        <v>0</v>
      </c>
      <c r="R121" s="15">
        <v>13</v>
      </c>
      <c r="S121" s="15">
        <v>0</v>
      </c>
      <c r="T121" s="15">
        <v>0</v>
      </c>
      <c r="U121" s="15">
        <v>0</v>
      </c>
      <c r="V121" s="18"/>
      <c r="W121" s="18"/>
      <c r="X121" s="30"/>
      <c r="Y121" s="30"/>
      <c r="Z121" s="30"/>
      <c r="AA121" s="30"/>
      <c r="AB121" s="34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</row>
    <row r="122" spans="1:41" s="39" customFormat="1" ht="21" customHeight="1">
      <c r="A122" s="32">
        <v>65</v>
      </c>
      <c r="B122" s="138"/>
      <c r="C122" s="106" t="s">
        <v>185</v>
      </c>
      <c r="D122" s="15"/>
      <c r="E122" s="16"/>
      <c r="F122" s="15">
        <v>0</v>
      </c>
      <c r="G122" s="15">
        <v>0</v>
      </c>
      <c r="H122" s="15">
        <v>1</v>
      </c>
      <c r="I122" s="17">
        <f t="shared" si="35"/>
        <v>1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f t="shared" si="36"/>
        <v>0</v>
      </c>
      <c r="Q122" s="15">
        <v>0</v>
      </c>
      <c r="R122" s="15">
        <v>1</v>
      </c>
      <c r="S122" s="15">
        <v>0</v>
      </c>
      <c r="T122" s="15">
        <v>0</v>
      </c>
      <c r="U122" s="15">
        <v>0</v>
      </c>
      <c r="V122" s="18"/>
      <c r="W122" s="18"/>
      <c r="X122" s="30"/>
      <c r="Y122" s="30"/>
      <c r="Z122" s="30"/>
      <c r="AA122" s="30"/>
      <c r="AB122" s="34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</row>
    <row r="123" spans="1:41" s="39" customFormat="1" ht="18.75" customHeight="1">
      <c r="A123" s="32">
        <v>25</v>
      </c>
      <c r="B123" s="138"/>
      <c r="C123" s="106" t="str">
        <f>IF(A123="","VARA",VLOOKUP(A123,'[1]varas'!$A$4:$B$67,2))</f>
        <v>2ª VT Barreiros</v>
      </c>
      <c r="D123" s="15"/>
      <c r="E123" s="16"/>
      <c r="F123" s="15">
        <f>14+16</f>
        <v>30</v>
      </c>
      <c r="G123" s="15">
        <v>0</v>
      </c>
      <c r="H123" s="15">
        <v>0</v>
      </c>
      <c r="I123" s="17">
        <f t="shared" si="35"/>
        <v>30</v>
      </c>
      <c r="J123" s="15">
        <v>12</v>
      </c>
      <c r="K123" s="15">
        <v>0</v>
      </c>
      <c r="L123" s="15">
        <v>0</v>
      </c>
      <c r="M123" s="15">
        <v>0</v>
      </c>
      <c r="N123" s="15">
        <v>0</v>
      </c>
      <c r="O123" s="15">
        <v>16</v>
      </c>
      <c r="P123" s="15">
        <f t="shared" si="36"/>
        <v>28</v>
      </c>
      <c r="Q123" s="15">
        <v>0</v>
      </c>
      <c r="R123" s="15">
        <v>0</v>
      </c>
      <c r="S123" s="15">
        <v>0</v>
      </c>
      <c r="T123" s="15">
        <v>2</v>
      </c>
      <c r="U123" s="15">
        <v>51</v>
      </c>
      <c r="V123" s="18"/>
      <c r="W123" s="18"/>
      <c r="X123" s="30"/>
      <c r="Y123" s="30"/>
      <c r="Z123" s="30"/>
      <c r="AA123" s="30"/>
      <c r="AB123" s="34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</row>
    <row r="124" spans="1:41" s="39" customFormat="1" ht="21.75" customHeight="1">
      <c r="A124" s="32">
        <v>43</v>
      </c>
      <c r="B124" s="138"/>
      <c r="C124" s="106" t="str">
        <f>IF(A124="","VARA",VLOOKUP(A124,'[1]varas'!$A$4:$B$67,2))</f>
        <v>1ª VT Petrolina</v>
      </c>
      <c r="D124" s="15"/>
      <c r="E124" s="16"/>
      <c r="F124" s="15">
        <v>0</v>
      </c>
      <c r="G124" s="15">
        <v>6</v>
      </c>
      <c r="H124" s="15">
        <v>10</v>
      </c>
      <c r="I124" s="17">
        <f>SUM(F124:H124)</f>
        <v>16</v>
      </c>
      <c r="J124" s="15">
        <v>13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f>SUM(J124:O124)</f>
        <v>13</v>
      </c>
      <c r="Q124" s="15">
        <v>0</v>
      </c>
      <c r="R124" s="15">
        <v>3</v>
      </c>
      <c r="S124" s="15">
        <v>0</v>
      </c>
      <c r="T124" s="15">
        <v>0</v>
      </c>
      <c r="U124" s="15">
        <v>0</v>
      </c>
      <c r="V124" s="18"/>
      <c r="W124" s="18"/>
      <c r="X124" s="30"/>
      <c r="Y124" s="30"/>
      <c r="Z124" s="30"/>
      <c r="AA124" s="30"/>
      <c r="AB124" s="34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</row>
    <row r="125" spans="1:41" s="39" customFormat="1" ht="21.75" customHeight="1">
      <c r="A125" s="32">
        <v>44</v>
      </c>
      <c r="B125" s="138"/>
      <c r="C125" s="106" t="str">
        <f>IF(A125="","VARA",VLOOKUP(A125,'[1]varas'!$A$4:$B$67,2))</f>
        <v>2ª VT Petrolina</v>
      </c>
      <c r="D125" s="15"/>
      <c r="E125" s="16"/>
      <c r="F125" s="15">
        <v>0</v>
      </c>
      <c r="G125" s="15">
        <v>0</v>
      </c>
      <c r="H125" s="15">
        <v>6</v>
      </c>
      <c r="I125" s="17">
        <f>SUM(F125:H125)</f>
        <v>6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f>SUM(J125:O125)</f>
        <v>0</v>
      </c>
      <c r="Q125" s="15">
        <v>0</v>
      </c>
      <c r="R125" s="15">
        <v>6</v>
      </c>
      <c r="S125" s="15">
        <v>0</v>
      </c>
      <c r="T125" s="15">
        <v>0</v>
      </c>
      <c r="U125" s="15">
        <v>0</v>
      </c>
      <c r="V125" s="18"/>
      <c r="W125" s="18"/>
      <c r="X125" s="30"/>
      <c r="Y125" s="30"/>
      <c r="Z125" s="30"/>
      <c r="AA125" s="30"/>
      <c r="AB125" s="34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</row>
    <row r="126" spans="1:41" s="39" customFormat="1" ht="22.5" customHeight="1">
      <c r="A126" s="32">
        <v>68</v>
      </c>
      <c r="B126" s="138"/>
      <c r="C126" s="106" t="s">
        <v>173</v>
      </c>
      <c r="D126" s="15"/>
      <c r="E126" s="16"/>
      <c r="F126" s="15">
        <v>0</v>
      </c>
      <c r="G126" s="15">
        <v>0</v>
      </c>
      <c r="H126" s="15">
        <v>10</v>
      </c>
      <c r="I126" s="17">
        <f>SUM(F126:H126)</f>
        <v>10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f>SUM(J126:O126)</f>
        <v>0</v>
      </c>
      <c r="Q126" s="15">
        <v>0</v>
      </c>
      <c r="R126" s="15">
        <v>10</v>
      </c>
      <c r="S126" s="15">
        <v>0</v>
      </c>
      <c r="T126" s="15">
        <v>0</v>
      </c>
      <c r="U126" s="15">
        <v>0</v>
      </c>
      <c r="V126" s="18"/>
      <c r="W126" s="18"/>
      <c r="X126" s="30"/>
      <c r="Y126" s="30"/>
      <c r="Z126" s="30"/>
      <c r="AA126" s="30"/>
      <c r="AB126" s="34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</row>
    <row r="127" spans="1:41" s="39" customFormat="1" ht="20.25" customHeight="1">
      <c r="A127" s="32"/>
      <c r="B127" s="133"/>
      <c r="C127" s="107" t="s">
        <v>12</v>
      </c>
      <c r="D127" s="33"/>
      <c r="E127" s="23"/>
      <c r="F127" s="24">
        <f>SUM(F118:F126)</f>
        <v>34</v>
      </c>
      <c r="G127" s="24">
        <f>SUM(G118:G126)</f>
        <v>12</v>
      </c>
      <c r="H127" s="24">
        <f>SUM(H118:H126)</f>
        <v>61</v>
      </c>
      <c r="I127" s="25">
        <f t="shared" si="35"/>
        <v>107</v>
      </c>
      <c r="J127" s="24">
        <f aca="true" t="shared" si="37" ref="J127:O127">SUM(J118:J126)</f>
        <v>30</v>
      </c>
      <c r="K127" s="24">
        <f t="shared" si="37"/>
        <v>0</v>
      </c>
      <c r="L127" s="24">
        <f t="shared" si="37"/>
        <v>0</v>
      </c>
      <c r="M127" s="24">
        <f t="shared" si="37"/>
        <v>0</v>
      </c>
      <c r="N127" s="24">
        <f t="shared" si="37"/>
        <v>0</v>
      </c>
      <c r="O127" s="24">
        <f t="shared" si="37"/>
        <v>18</v>
      </c>
      <c r="P127" s="24">
        <f t="shared" si="36"/>
        <v>48</v>
      </c>
      <c r="Q127" s="24">
        <f>SUM(Q118:Q126)</f>
        <v>4</v>
      </c>
      <c r="R127" s="24">
        <f>SUM(R118:R126)</f>
        <v>53</v>
      </c>
      <c r="S127" s="24">
        <f>SUM(S118:S126)</f>
        <v>0</v>
      </c>
      <c r="T127" s="24">
        <f>SUM(T118:T126)</f>
        <v>2</v>
      </c>
      <c r="U127" s="24">
        <f>SUM(U118:U126)</f>
        <v>67</v>
      </c>
      <c r="V127" s="26">
        <f>IF(I127-Q127=0,"",IF(D127="",(P127+S127)/(I127-Q127),IF(AND(D127&lt;&gt;"",(P127+S127)/(I127-Q127)&gt;=50%),(P127+S127)/(I127-Q127),"")))</f>
        <v>0.46601941747572817</v>
      </c>
      <c r="W127" s="26">
        <f>IF(I127=O127,"",IF(V127="",0,(P127+Q127+S127-O127)/(I127-O127)))</f>
        <v>0.38202247191011235</v>
      </c>
      <c r="X127" s="30"/>
      <c r="Y127" s="30"/>
      <c r="Z127" s="30"/>
      <c r="AA127" s="30"/>
      <c r="AB127" s="34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</row>
    <row r="128" spans="1:41" s="39" customFormat="1" ht="20.25" customHeight="1">
      <c r="A128" s="32"/>
      <c r="B128" s="139" t="s">
        <v>157</v>
      </c>
      <c r="C128" s="89" t="s">
        <v>158</v>
      </c>
      <c r="D128" s="90" t="s">
        <v>30</v>
      </c>
      <c r="E128" s="91" t="s">
        <v>215</v>
      </c>
      <c r="F128" s="92"/>
      <c r="G128" s="92"/>
      <c r="H128" s="92"/>
      <c r="I128" s="93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4"/>
      <c r="W128" s="94"/>
      <c r="X128" s="30"/>
      <c r="Y128" s="30"/>
      <c r="Z128" s="30"/>
      <c r="AA128" s="30"/>
      <c r="AB128" s="34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</row>
    <row r="129" spans="1:41" s="39" customFormat="1" ht="20.25" customHeight="1">
      <c r="A129" s="32">
        <v>57</v>
      </c>
      <c r="B129" s="139"/>
      <c r="C129" s="95" t="str">
        <f>IF(A129="","VARA",VLOOKUP(A129,'[1]varas'!$A$4:$B$67,2))</f>
        <v>VT S. Lourenço </v>
      </c>
      <c r="D129" s="90"/>
      <c r="E129" s="91"/>
      <c r="F129" s="92">
        <v>16</v>
      </c>
      <c r="G129" s="92">
        <v>8</v>
      </c>
      <c r="H129" s="92">
        <v>0</v>
      </c>
      <c r="I129" s="93">
        <f>SUM(F129:H129)</f>
        <v>24</v>
      </c>
      <c r="J129" s="92">
        <v>9</v>
      </c>
      <c r="K129" s="92">
        <v>1</v>
      </c>
      <c r="L129" s="92">
        <v>1</v>
      </c>
      <c r="M129" s="92">
        <v>1</v>
      </c>
      <c r="N129" s="92">
        <v>0</v>
      </c>
      <c r="O129" s="92">
        <v>12</v>
      </c>
      <c r="P129" s="92">
        <f>SUM(J129:O129)</f>
        <v>24</v>
      </c>
      <c r="Q129" s="92">
        <v>0</v>
      </c>
      <c r="R129" s="92">
        <v>0</v>
      </c>
      <c r="S129" s="92">
        <v>0</v>
      </c>
      <c r="T129" s="92">
        <v>0</v>
      </c>
      <c r="U129" s="92">
        <v>29</v>
      </c>
      <c r="V129" s="94"/>
      <c r="W129" s="94"/>
      <c r="X129" s="30"/>
      <c r="Y129" s="30"/>
      <c r="Z129" s="30"/>
      <c r="AA129" s="30"/>
      <c r="AB129" s="34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</row>
    <row r="130" spans="1:41" s="39" customFormat="1" ht="23.25" customHeight="1">
      <c r="A130" s="32"/>
      <c r="B130" s="139"/>
      <c r="C130" s="96" t="s">
        <v>12</v>
      </c>
      <c r="D130" s="97"/>
      <c r="E130" s="98"/>
      <c r="F130" s="99">
        <f>SUM(F128:F129)</f>
        <v>16</v>
      </c>
      <c r="G130" s="99">
        <f>SUM(G128:G129)</f>
        <v>8</v>
      </c>
      <c r="H130" s="99">
        <f>SUM(H128:H129)</f>
        <v>0</v>
      </c>
      <c r="I130" s="100">
        <f>SUM(F130:H130)</f>
        <v>24</v>
      </c>
      <c r="J130" s="99">
        <f aca="true" t="shared" si="38" ref="J130:O130">SUM(J128:J129)</f>
        <v>9</v>
      </c>
      <c r="K130" s="99">
        <f t="shared" si="38"/>
        <v>1</v>
      </c>
      <c r="L130" s="99">
        <f t="shared" si="38"/>
        <v>1</v>
      </c>
      <c r="M130" s="99">
        <f t="shared" si="38"/>
        <v>1</v>
      </c>
      <c r="N130" s="99">
        <f t="shared" si="38"/>
        <v>0</v>
      </c>
      <c r="O130" s="99">
        <f t="shared" si="38"/>
        <v>12</v>
      </c>
      <c r="P130" s="99">
        <f>SUM(J130:O130)</f>
        <v>24</v>
      </c>
      <c r="Q130" s="99">
        <f>SUM(Q128:Q129)</f>
        <v>0</v>
      </c>
      <c r="R130" s="99">
        <f>SUM(R128:R129)</f>
        <v>0</v>
      </c>
      <c r="S130" s="99">
        <f>SUM(S128:S129)</f>
        <v>0</v>
      </c>
      <c r="T130" s="99">
        <f>SUM(T128:T129)</f>
        <v>0</v>
      </c>
      <c r="U130" s="99">
        <f>SUM(U128:U129)</f>
        <v>29</v>
      </c>
      <c r="V130" s="101">
        <f>IF(I130-Q130=0,"",IF(D130="",(P130+S130)/(I130-Q130),IF(AND(D130&lt;&gt;"",(P130+S130)/(I130-Q130)&gt;=50%),(P130+S130)/(I130-Q130),"")))</f>
        <v>1</v>
      </c>
      <c r="W130" s="101">
        <f>IF(I130=O130,"",IF(V130="",0,(P130+Q130+S130-O130)/(I130-O130)))</f>
        <v>1</v>
      </c>
      <c r="X130" s="30"/>
      <c r="Y130" s="30"/>
      <c r="Z130" s="30"/>
      <c r="AA130" s="30"/>
      <c r="AB130" s="34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</row>
    <row r="131" spans="1:41" s="39" customFormat="1" ht="24.75" customHeight="1">
      <c r="A131" s="32"/>
      <c r="B131" s="136" t="s">
        <v>59</v>
      </c>
      <c r="C131" s="14" t="s">
        <v>2</v>
      </c>
      <c r="D131" s="29"/>
      <c r="E131" s="16" t="s">
        <v>27</v>
      </c>
      <c r="F131" s="15"/>
      <c r="G131" s="15"/>
      <c r="H131" s="15"/>
      <c r="I131" s="17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8"/>
      <c r="W131" s="18"/>
      <c r="X131" s="30"/>
      <c r="Y131" s="30"/>
      <c r="Z131" s="30"/>
      <c r="AA131" s="30"/>
      <c r="AB131" s="34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</row>
    <row r="132" spans="1:41" s="39" customFormat="1" ht="22.5" customHeight="1">
      <c r="A132" s="32">
        <v>22</v>
      </c>
      <c r="B132" s="136"/>
      <c r="C132" s="20" t="str">
        <f>IF(A132="","VARA",VLOOKUP(A132,'[1]varas'!$A$4:$B$67,2))</f>
        <v>22ª VT Recife</v>
      </c>
      <c r="D132" s="15"/>
      <c r="E132" s="16"/>
      <c r="F132" s="15">
        <f>69+25+6+11</f>
        <v>111</v>
      </c>
      <c r="G132" s="15">
        <v>6</v>
      </c>
      <c r="H132" s="15">
        <v>14</v>
      </c>
      <c r="I132" s="17">
        <f>SUM(F132:H132)</f>
        <v>131</v>
      </c>
      <c r="J132" s="15">
        <v>30</v>
      </c>
      <c r="K132" s="15">
        <v>16</v>
      </c>
      <c r="L132" s="15">
        <v>3</v>
      </c>
      <c r="M132" s="15">
        <v>0</v>
      </c>
      <c r="N132" s="15">
        <v>0</v>
      </c>
      <c r="O132" s="15">
        <v>25</v>
      </c>
      <c r="P132" s="15">
        <f>SUM(J132:O132)</f>
        <v>74</v>
      </c>
      <c r="Q132" s="15">
        <v>17</v>
      </c>
      <c r="R132" s="15">
        <v>40</v>
      </c>
      <c r="S132" s="15">
        <v>0</v>
      </c>
      <c r="T132" s="15">
        <v>0</v>
      </c>
      <c r="U132" s="15">
        <v>195</v>
      </c>
      <c r="V132" s="18"/>
      <c r="W132" s="18"/>
      <c r="X132" s="30"/>
      <c r="Y132" s="30"/>
      <c r="Z132" s="30"/>
      <c r="AA132" s="30"/>
      <c r="AB132" s="34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</row>
    <row r="133" spans="1:41" s="53" customFormat="1" ht="21" customHeight="1">
      <c r="A133" s="47"/>
      <c r="B133" s="136"/>
      <c r="C133" s="21" t="s">
        <v>12</v>
      </c>
      <c r="D133" s="51"/>
      <c r="E133" s="52"/>
      <c r="F133" s="24">
        <f>SUM(F131:F132)</f>
        <v>111</v>
      </c>
      <c r="G133" s="24">
        <f>SUM(G131:G132)</f>
        <v>6</v>
      </c>
      <c r="H133" s="24">
        <f>SUM(H131:H132)</f>
        <v>14</v>
      </c>
      <c r="I133" s="25">
        <f>SUM(F133:H133)</f>
        <v>131</v>
      </c>
      <c r="J133" s="24">
        <f aca="true" t="shared" si="39" ref="J133:O133">SUM(J131:J132)</f>
        <v>30</v>
      </c>
      <c r="K133" s="24">
        <f t="shared" si="39"/>
        <v>16</v>
      </c>
      <c r="L133" s="24">
        <f t="shared" si="39"/>
        <v>3</v>
      </c>
      <c r="M133" s="24">
        <f t="shared" si="39"/>
        <v>0</v>
      </c>
      <c r="N133" s="24">
        <f t="shared" si="39"/>
        <v>0</v>
      </c>
      <c r="O133" s="24">
        <f t="shared" si="39"/>
        <v>25</v>
      </c>
      <c r="P133" s="24">
        <f>SUM(J133:O133)</f>
        <v>74</v>
      </c>
      <c r="Q133" s="24">
        <f>SUM(Q131:Q132)</f>
        <v>17</v>
      </c>
      <c r="R133" s="24">
        <f>SUM(R131:R132)</f>
        <v>40</v>
      </c>
      <c r="S133" s="24">
        <f>SUM(S131:S132)</f>
        <v>0</v>
      </c>
      <c r="T133" s="24">
        <f>SUM(T131:T132)</f>
        <v>0</v>
      </c>
      <c r="U133" s="24">
        <f>SUM(U131:U132)</f>
        <v>195</v>
      </c>
      <c r="V133" s="26">
        <f>IF(I133-Q133=0,"",IF(D133="",(P133+S133)/(I133-Q133),IF(AND(D133&lt;&gt;"",(P133+S133)/(I133-Q133)&gt;=50%),(P133+S133)/(I133-Q133),"")))</f>
        <v>0.6491228070175439</v>
      </c>
      <c r="W133" s="26">
        <f>IF(I133=O133,"",IF(V133="",0,(P133+Q133+S133-O133)/(I133-O133)))</f>
        <v>0.6226415094339622</v>
      </c>
      <c r="X133" s="49"/>
      <c r="Y133" s="49"/>
      <c r="Z133" s="49"/>
      <c r="AA133" s="49"/>
      <c r="AB133" s="50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</row>
    <row r="134" spans="1:41" s="39" customFormat="1" ht="21" customHeight="1">
      <c r="A134" s="32"/>
      <c r="B134" s="136" t="s">
        <v>60</v>
      </c>
      <c r="C134" s="14" t="s">
        <v>158</v>
      </c>
      <c r="D134" s="15"/>
      <c r="E134" s="16" t="s">
        <v>27</v>
      </c>
      <c r="F134" s="15"/>
      <c r="G134" s="15"/>
      <c r="H134" s="15"/>
      <c r="I134" s="17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8"/>
      <c r="W134" s="18"/>
      <c r="X134" s="30"/>
      <c r="Y134" s="30"/>
      <c r="Z134" s="30"/>
      <c r="AA134" s="30"/>
      <c r="AB134" s="34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</row>
    <row r="135" spans="1:41" s="39" customFormat="1" ht="21" customHeight="1">
      <c r="A135" s="32">
        <v>22</v>
      </c>
      <c r="B135" s="136"/>
      <c r="C135" s="20" t="str">
        <f>IF(A135="","VARA",VLOOKUP(A135,'[1]varas'!$A$4:$B$67,2))</f>
        <v>22ª VT Recife</v>
      </c>
      <c r="D135" s="15"/>
      <c r="E135" s="16"/>
      <c r="F135" s="15">
        <v>0</v>
      </c>
      <c r="G135" s="15">
        <v>9</v>
      </c>
      <c r="H135" s="15">
        <v>0</v>
      </c>
      <c r="I135" s="17">
        <f>SUM(F135:H135)</f>
        <v>9</v>
      </c>
      <c r="J135" s="15">
        <v>3</v>
      </c>
      <c r="K135" s="15">
        <v>0</v>
      </c>
      <c r="L135" s="15">
        <v>0</v>
      </c>
      <c r="M135" s="15">
        <v>2</v>
      </c>
      <c r="N135" s="15">
        <v>0</v>
      </c>
      <c r="O135" s="15">
        <v>0</v>
      </c>
      <c r="P135" s="15">
        <f>SUM(J135:O135)</f>
        <v>5</v>
      </c>
      <c r="Q135" s="15">
        <v>0</v>
      </c>
      <c r="R135" s="15">
        <v>4</v>
      </c>
      <c r="S135" s="15">
        <v>0</v>
      </c>
      <c r="T135" s="15">
        <v>0</v>
      </c>
      <c r="U135" s="15">
        <v>0</v>
      </c>
      <c r="V135" s="18"/>
      <c r="W135" s="18"/>
      <c r="X135" s="30"/>
      <c r="Y135" s="30"/>
      <c r="Z135" s="30"/>
      <c r="AA135" s="30"/>
      <c r="AB135" s="34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</row>
    <row r="136" spans="1:41" s="39" customFormat="1" ht="21" customHeight="1">
      <c r="A136" s="32">
        <v>30</v>
      </c>
      <c r="B136" s="136"/>
      <c r="C136" s="20" t="str">
        <f>IF(A136="","VARA",VLOOKUP(A136,'[1]varas'!$A$4:$B$67,2))</f>
        <v>3ª VT Caruaru</v>
      </c>
      <c r="D136" s="15"/>
      <c r="E136" s="16"/>
      <c r="F136" s="15">
        <f>55+18</f>
        <v>73</v>
      </c>
      <c r="G136" s="15">
        <v>4</v>
      </c>
      <c r="H136" s="15">
        <v>9</v>
      </c>
      <c r="I136" s="17">
        <f>SUM(F136:H136)</f>
        <v>86</v>
      </c>
      <c r="J136" s="15">
        <v>17</v>
      </c>
      <c r="K136" s="15">
        <v>3</v>
      </c>
      <c r="L136" s="15">
        <v>5</v>
      </c>
      <c r="M136" s="15">
        <v>6</v>
      </c>
      <c r="N136" s="15">
        <v>1</v>
      </c>
      <c r="O136" s="15">
        <v>5</v>
      </c>
      <c r="P136" s="15">
        <f>SUM(J136:O136)</f>
        <v>37</v>
      </c>
      <c r="Q136" s="15">
        <v>0</v>
      </c>
      <c r="R136" s="15">
        <v>49</v>
      </c>
      <c r="S136" s="15">
        <v>0</v>
      </c>
      <c r="T136" s="15">
        <v>0</v>
      </c>
      <c r="U136" s="15">
        <v>63</v>
      </c>
      <c r="V136" s="18"/>
      <c r="W136" s="18"/>
      <c r="X136" s="30"/>
      <c r="Y136" s="30"/>
      <c r="Z136" s="30"/>
      <c r="AA136" s="30"/>
      <c r="AB136" s="34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</row>
    <row r="137" spans="1:41" s="39" customFormat="1" ht="24" customHeight="1">
      <c r="A137" s="32">
        <v>60</v>
      </c>
      <c r="B137" s="136"/>
      <c r="C137" s="20" t="str">
        <f>IF(A137="","VARA",VLOOKUP(A137,'[1]varas'!$A$4:$B$67,2))</f>
        <v>VT Timbaúba</v>
      </c>
      <c r="D137" s="15"/>
      <c r="E137" s="16"/>
      <c r="F137" s="15">
        <v>0</v>
      </c>
      <c r="G137" s="15">
        <v>0</v>
      </c>
      <c r="H137" s="15">
        <v>19</v>
      </c>
      <c r="I137" s="17">
        <f>SUM(F137:H137)</f>
        <v>19</v>
      </c>
      <c r="J137" s="15">
        <v>19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f>SUM(J137:O137)</f>
        <v>19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8"/>
      <c r="W137" s="18"/>
      <c r="X137" s="30"/>
      <c r="Y137" s="30"/>
      <c r="Z137" s="30"/>
      <c r="AA137" s="30"/>
      <c r="AB137" s="34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</row>
    <row r="138" spans="1:41" s="39" customFormat="1" ht="20.25" customHeight="1">
      <c r="A138" s="32">
        <v>54</v>
      </c>
      <c r="B138" s="136"/>
      <c r="C138" s="20" t="str">
        <f>IF(A138="","VARA",VLOOKUP(A138,'[1]varas'!$A$4:$B$67,2))</f>
        <v>1ª VT Palmares</v>
      </c>
      <c r="D138" s="15"/>
      <c r="E138" s="16"/>
      <c r="F138" s="15">
        <v>2</v>
      </c>
      <c r="G138" s="15">
        <v>0</v>
      </c>
      <c r="H138" s="15">
        <v>0</v>
      </c>
      <c r="I138" s="17">
        <f>SUM(F138:H138)</f>
        <v>2</v>
      </c>
      <c r="J138" s="15">
        <v>2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f>SUM(J138:O138)</f>
        <v>2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8"/>
      <c r="W138" s="18"/>
      <c r="X138" s="30"/>
      <c r="Y138" s="30"/>
      <c r="Z138" s="30"/>
      <c r="AA138" s="30"/>
      <c r="AB138" s="34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</row>
    <row r="139" spans="1:41" s="53" customFormat="1" ht="18" customHeight="1">
      <c r="A139" s="47"/>
      <c r="B139" s="130"/>
      <c r="C139" s="20" t="s">
        <v>12</v>
      </c>
      <c r="D139" s="24"/>
      <c r="E139" s="48"/>
      <c r="F139" s="24">
        <f>SUM(F134:F138)</f>
        <v>75</v>
      </c>
      <c r="G139" s="24">
        <f>SUM(G134:G138)</f>
        <v>13</v>
      </c>
      <c r="H139" s="24">
        <f>SUM(H134:H138)</f>
        <v>28</v>
      </c>
      <c r="I139" s="40">
        <f>SUM(F139:H139)</f>
        <v>116</v>
      </c>
      <c r="J139" s="24">
        <f aca="true" t="shared" si="40" ref="J139:O139">SUM(J134:J138)</f>
        <v>41</v>
      </c>
      <c r="K139" s="24">
        <f t="shared" si="40"/>
        <v>3</v>
      </c>
      <c r="L139" s="24">
        <f t="shared" si="40"/>
        <v>5</v>
      </c>
      <c r="M139" s="24">
        <f t="shared" si="40"/>
        <v>8</v>
      </c>
      <c r="N139" s="24">
        <f t="shared" si="40"/>
        <v>1</v>
      </c>
      <c r="O139" s="24">
        <f t="shared" si="40"/>
        <v>5</v>
      </c>
      <c r="P139" s="24">
        <f>SUM(J139:O139)</f>
        <v>63</v>
      </c>
      <c r="Q139" s="24">
        <f>SUM(Q134:Q138)</f>
        <v>0</v>
      </c>
      <c r="R139" s="24">
        <f>SUM(R134:R138)</f>
        <v>53</v>
      </c>
      <c r="S139" s="24">
        <f>SUM(S134:S138)</f>
        <v>0</v>
      </c>
      <c r="T139" s="24">
        <f>SUM(T134:T138)</f>
        <v>0</v>
      </c>
      <c r="U139" s="24">
        <f>SUM(U134:U138)</f>
        <v>63</v>
      </c>
      <c r="V139" s="26">
        <f>IF(I139-Q139=0,"",IF(D139="",(P139+S139)/(I139-Q139),IF(AND(D139&lt;&gt;"",(P139+S139)/(I139-Q139)&gt;=50%),(P139+S139)/(I139-Q139),"")))</f>
        <v>0.5431034482758621</v>
      </c>
      <c r="W139" s="26">
        <f>IF(I139=O139,"",IF(V139="",0,(P139+Q139+S139-O139)/(I139-O139)))</f>
        <v>0.5225225225225225</v>
      </c>
      <c r="X139" s="49"/>
      <c r="Y139" s="49"/>
      <c r="Z139" s="49"/>
      <c r="AA139" s="49"/>
      <c r="AB139" s="50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</row>
    <row r="140" spans="1:41" s="39" customFormat="1" ht="22.5" customHeight="1">
      <c r="A140" s="32"/>
      <c r="B140" s="137" t="s">
        <v>61</v>
      </c>
      <c r="C140" s="105" t="s">
        <v>2</v>
      </c>
      <c r="D140" s="29" t="s">
        <v>30</v>
      </c>
      <c r="E140" s="16" t="s">
        <v>198</v>
      </c>
      <c r="F140" s="15"/>
      <c r="G140" s="15"/>
      <c r="H140" s="15"/>
      <c r="I140" s="17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8"/>
      <c r="W140" s="18"/>
      <c r="X140" s="30"/>
      <c r="Y140" s="30"/>
      <c r="Z140" s="30"/>
      <c r="AA140" s="30"/>
      <c r="AB140" s="34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</row>
    <row r="141" spans="1:41" s="39" customFormat="1" ht="20.25" customHeight="1">
      <c r="A141" s="32">
        <v>8</v>
      </c>
      <c r="B141" s="138"/>
      <c r="C141" s="106" t="str">
        <f>IF(A141="","VARA",VLOOKUP(A141,'[1]varas'!$A$4:$B$67,2))</f>
        <v>8ª VT Recife</v>
      </c>
      <c r="D141" s="15"/>
      <c r="E141" s="16"/>
      <c r="F141" s="15">
        <v>2</v>
      </c>
      <c r="G141" s="15">
        <v>8</v>
      </c>
      <c r="H141" s="15">
        <v>1</v>
      </c>
      <c r="I141" s="17">
        <f>SUM(F141:H141)</f>
        <v>11</v>
      </c>
      <c r="J141" s="15">
        <v>10</v>
      </c>
      <c r="K141" s="15">
        <v>0</v>
      </c>
      <c r="L141" s="15">
        <v>0</v>
      </c>
      <c r="M141" s="15">
        <v>0</v>
      </c>
      <c r="N141" s="15">
        <v>0</v>
      </c>
      <c r="O141" s="15">
        <v>1</v>
      </c>
      <c r="P141" s="15">
        <f>SUM(J141:O141)</f>
        <v>11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8"/>
      <c r="W141" s="18"/>
      <c r="X141" s="30"/>
      <c r="Y141" s="30"/>
      <c r="Z141" s="30"/>
      <c r="AA141" s="30"/>
      <c r="AB141" s="34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</row>
    <row r="142" spans="1:41" s="53" customFormat="1" ht="18" customHeight="1">
      <c r="A142" s="47"/>
      <c r="B142" s="133"/>
      <c r="C142" s="106" t="s">
        <v>12</v>
      </c>
      <c r="D142" s="24"/>
      <c r="E142" s="48"/>
      <c r="F142" s="24">
        <f>SUM(F140:F141)</f>
        <v>2</v>
      </c>
      <c r="G142" s="24">
        <f>SUM(G140:G141)</f>
        <v>8</v>
      </c>
      <c r="H142" s="24">
        <f>SUM(H140:H141)</f>
        <v>1</v>
      </c>
      <c r="I142" s="40">
        <f>SUM(F142:H142)</f>
        <v>11</v>
      </c>
      <c r="J142" s="24">
        <f aca="true" t="shared" si="41" ref="J142:O142">SUM(J140:J141)</f>
        <v>10</v>
      </c>
      <c r="K142" s="24">
        <f t="shared" si="41"/>
        <v>0</v>
      </c>
      <c r="L142" s="24">
        <f t="shared" si="41"/>
        <v>0</v>
      </c>
      <c r="M142" s="24">
        <f t="shared" si="41"/>
        <v>0</v>
      </c>
      <c r="N142" s="24">
        <f t="shared" si="41"/>
        <v>0</v>
      </c>
      <c r="O142" s="24">
        <f t="shared" si="41"/>
        <v>1</v>
      </c>
      <c r="P142" s="24">
        <f>SUM(J142:O142)</f>
        <v>11</v>
      </c>
      <c r="Q142" s="24">
        <f>SUM(Q140:Q141)</f>
        <v>0</v>
      </c>
      <c r="R142" s="24">
        <f>SUM(R140:R141)</f>
        <v>0</v>
      </c>
      <c r="S142" s="24">
        <f>SUM(S140:S141)</f>
        <v>0</v>
      </c>
      <c r="T142" s="24">
        <f>SUM(T140:T141)</f>
        <v>0</v>
      </c>
      <c r="U142" s="24">
        <f>SUM(U140:U141)</f>
        <v>0</v>
      </c>
      <c r="V142" s="26">
        <f>IF(I142-Q142=0,"",IF(D142="",(P142+S142)/(I142-Q142),IF(AND(D142&lt;&gt;"",(P142+S142)/(I142-Q142)&gt;=50%),(P142+S142)/(I142-Q142),"")))</f>
        <v>1</v>
      </c>
      <c r="W142" s="26">
        <f>IF(I142=O142,"",IF(V142="",0,(P142+Q142+S142-O142)/(I142-O142)))</f>
        <v>1</v>
      </c>
      <c r="X142" s="49"/>
      <c r="Y142" s="49"/>
      <c r="Z142" s="49"/>
      <c r="AA142" s="49"/>
      <c r="AB142" s="50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</row>
    <row r="143" spans="1:41" s="39" customFormat="1" ht="21" customHeight="1">
      <c r="A143" s="32"/>
      <c r="B143" s="137" t="s">
        <v>62</v>
      </c>
      <c r="C143" s="105" t="s">
        <v>2</v>
      </c>
      <c r="D143" s="29"/>
      <c r="E143" s="16" t="s">
        <v>27</v>
      </c>
      <c r="F143" s="15"/>
      <c r="G143" s="15"/>
      <c r="H143" s="15"/>
      <c r="I143" s="17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8"/>
      <c r="W143" s="18"/>
      <c r="X143" s="30"/>
      <c r="Y143" s="30"/>
      <c r="Z143" s="30"/>
      <c r="AA143" s="30"/>
      <c r="AB143" s="34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</row>
    <row r="144" spans="1:41" s="39" customFormat="1" ht="18" customHeight="1">
      <c r="A144" s="32">
        <v>21</v>
      </c>
      <c r="B144" s="138"/>
      <c r="C144" s="106" t="str">
        <f>IF(A144="","VARA",VLOOKUP(A144,'[1]varas'!$A$4:$B$67,2))</f>
        <v>21ª VT Recife</v>
      </c>
      <c r="D144" s="15"/>
      <c r="E144" s="16"/>
      <c r="F144" s="15">
        <f>40+14+18+6</f>
        <v>78</v>
      </c>
      <c r="G144" s="15">
        <v>11</v>
      </c>
      <c r="H144" s="15">
        <v>0</v>
      </c>
      <c r="I144" s="17">
        <f>SUM(F144:H144)</f>
        <v>89</v>
      </c>
      <c r="J144" s="15">
        <v>14</v>
      </c>
      <c r="K144" s="15">
        <v>12</v>
      </c>
      <c r="L144" s="15">
        <v>18</v>
      </c>
      <c r="M144" s="15">
        <v>6</v>
      </c>
      <c r="N144" s="15">
        <v>0</v>
      </c>
      <c r="O144" s="15">
        <v>14</v>
      </c>
      <c r="P144" s="15">
        <f>SUM(J144:O144)</f>
        <v>64</v>
      </c>
      <c r="Q144" s="15">
        <v>10</v>
      </c>
      <c r="R144" s="15">
        <v>15</v>
      </c>
      <c r="S144" s="15">
        <v>0</v>
      </c>
      <c r="T144" s="15">
        <v>0</v>
      </c>
      <c r="U144" s="15">
        <v>114</v>
      </c>
      <c r="V144" s="18"/>
      <c r="W144" s="18"/>
      <c r="X144" s="30"/>
      <c r="Y144" s="30"/>
      <c r="Z144" s="30"/>
      <c r="AA144" s="30"/>
      <c r="AB144" s="34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</row>
    <row r="145" spans="1:41" s="39" customFormat="1" ht="15.75" customHeight="1">
      <c r="A145" s="32"/>
      <c r="B145" s="133"/>
      <c r="C145" s="107" t="s">
        <v>12</v>
      </c>
      <c r="D145" s="33"/>
      <c r="E145" s="23"/>
      <c r="F145" s="24">
        <f>SUM(F143:F144)</f>
        <v>78</v>
      </c>
      <c r="G145" s="24">
        <f>SUM(G143:G144)</f>
        <v>11</v>
      </c>
      <c r="H145" s="24">
        <f>SUM(H143:H144)</f>
        <v>0</v>
      </c>
      <c r="I145" s="40">
        <f>SUM(F145:H145)</f>
        <v>89</v>
      </c>
      <c r="J145" s="24">
        <f aca="true" t="shared" si="42" ref="J145:O145">SUM(J143:J144)</f>
        <v>14</v>
      </c>
      <c r="K145" s="24">
        <f t="shared" si="42"/>
        <v>12</v>
      </c>
      <c r="L145" s="24">
        <f t="shared" si="42"/>
        <v>18</v>
      </c>
      <c r="M145" s="24">
        <f t="shared" si="42"/>
        <v>6</v>
      </c>
      <c r="N145" s="24">
        <f t="shared" si="42"/>
        <v>0</v>
      </c>
      <c r="O145" s="24">
        <f t="shared" si="42"/>
        <v>14</v>
      </c>
      <c r="P145" s="24">
        <f>SUM(J145:O145)</f>
        <v>64</v>
      </c>
      <c r="Q145" s="24">
        <f>SUM(Q143:Q144)</f>
        <v>10</v>
      </c>
      <c r="R145" s="24">
        <f>SUM(R143:R144)</f>
        <v>15</v>
      </c>
      <c r="S145" s="24">
        <f>SUM(S143:S144)</f>
        <v>0</v>
      </c>
      <c r="T145" s="24">
        <f>SUM(T143:T144)</f>
        <v>0</v>
      </c>
      <c r="U145" s="24">
        <f>SUM(U143:U144)</f>
        <v>114</v>
      </c>
      <c r="V145" s="26">
        <f>IF(I145-Q145=0,"",IF(D145="",(P145+S145)/(I145-Q145),IF(AND(D145&lt;&gt;"",(P145+S145)/(I145-Q145)&gt;=50%),(P145+S145)/(I145-Q145),"")))</f>
        <v>0.810126582278481</v>
      </c>
      <c r="W145" s="26">
        <f>IF(I145=O145,"",IF(V145="",0,(P145+Q145+S145-O145)/(I145-O145)))</f>
        <v>0.8</v>
      </c>
      <c r="X145" s="30"/>
      <c r="Y145" s="30"/>
      <c r="Z145" s="30"/>
      <c r="AA145" s="30"/>
      <c r="AB145" s="34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</row>
    <row r="146" spans="1:41" s="39" customFormat="1" ht="21" customHeight="1">
      <c r="A146" s="32"/>
      <c r="B146" s="152" t="s">
        <v>188</v>
      </c>
      <c r="C146" s="109" t="s">
        <v>155</v>
      </c>
      <c r="D146" s="90" t="s">
        <v>30</v>
      </c>
      <c r="E146" s="91" t="s">
        <v>216</v>
      </c>
      <c r="F146" s="92"/>
      <c r="G146" s="92"/>
      <c r="H146" s="92"/>
      <c r="I146" s="93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4"/>
      <c r="W146" s="94"/>
      <c r="X146" s="30"/>
      <c r="Y146" s="30"/>
      <c r="Z146" s="30"/>
      <c r="AA146" s="30"/>
      <c r="AB146" s="34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</row>
    <row r="147" spans="1:41" s="39" customFormat="1" ht="18.75" customHeight="1">
      <c r="A147" s="32">
        <v>32</v>
      </c>
      <c r="B147" s="153"/>
      <c r="C147" s="110" t="str">
        <f>IF(A147="","VARA",VLOOKUP(A147,'[1]varas'!$A$4:$B$67,2))</f>
        <v>1ª VT Ipojuca</v>
      </c>
      <c r="D147" s="90"/>
      <c r="E147" s="91"/>
      <c r="F147" s="92">
        <f>11+8+4</f>
        <v>23</v>
      </c>
      <c r="G147" s="92">
        <v>8</v>
      </c>
      <c r="H147" s="92">
        <v>0</v>
      </c>
      <c r="I147" s="93">
        <f>SUM(F147:H147)</f>
        <v>31</v>
      </c>
      <c r="J147" s="92">
        <v>5</v>
      </c>
      <c r="K147" s="92">
        <v>0</v>
      </c>
      <c r="L147" s="92">
        <v>4</v>
      </c>
      <c r="M147" s="92">
        <v>0</v>
      </c>
      <c r="N147" s="92">
        <v>0</v>
      </c>
      <c r="O147" s="92">
        <v>8</v>
      </c>
      <c r="P147" s="92">
        <f>SUM(J147:O147)</f>
        <v>17</v>
      </c>
      <c r="Q147" s="92">
        <v>14</v>
      </c>
      <c r="R147" s="92">
        <v>0</v>
      </c>
      <c r="S147" s="92">
        <v>0</v>
      </c>
      <c r="T147" s="92">
        <v>0</v>
      </c>
      <c r="U147" s="92">
        <v>81</v>
      </c>
      <c r="V147" s="94"/>
      <c r="W147" s="94"/>
      <c r="X147" s="30"/>
      <c r="Y147" s="30"/>
      <c r="Z147" s="30"/>
      <c r="AA147" s="30"/>
      <c r="AB147" s="34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</row>
    <row r="148" spans="1:41" s="39" customFormat="1" ht="20.25" customHeight="1">
      <c r="A148" s="32"/>
      <c r="B148" s="154"/>
      <c r="C148" s="114" t="s">
        <v>12</v>
      </c>
      <c r="D148" s="97"/>
      <c r="E148" s="98"/>
      <c r="F148" s="99">
        <f>SUM(F146:F147)</f>
        <v>23</v>
      </c>
      <c r="G148" s="99">
        <f>SUM(G146:G147)</f>
        <v>8</v>
      </c>
      <c r="H148" s="99">
        <f>SUM(H146:H147)</f>
        <v>0</v>
      </c>
      <c r="I148" s="100">
        <f>SUM(F148:H148)</f>
        <v>31</v>
      </c>
      <c r="J148" s="99">
        <f aca="true" t="shared" si="43" ref="J148:O148">SUM(J146:J147)</f>
        <v>5</v>
      </c>
      <c r="K148" s="99">
        <f t="shared" si="43"/>
        <v>0</v>
      </c>
      <c r="L148" s="99">
        <f t="shared" si="43"/>
        <v>4</v>
      </c>
      <c r="M148" s="99">
        <f t="shared" si="43"/>
        <v>0</v>
      </c>
      <c r="N148" s="99">
        <f t="shared" si="43"/>
        <v>0</v>
      </c>
      <c r="O148" s="99">
        <f t="shared" si="43"/>
        <v>8</v>
      </c>
      <c r="P148" s="99">
        <f>SUM(J148:O148)</f>
        <v>17</v>
      </c>
      <c r="Q148" s="99">
        <f>SUM(Q146:Q147)</f>
        <v>14</v>
      </c>
      <c r="R148" s="99">
        <f>SUM(R146:R147)</f>
        <v>0</v>
      </c>
      <c r="S148" s="99">
        <f>SUM(S146:S147)</f>
        <v>0</v>
      </c>
      <c r="T148" s="99">
        <f>SUM(T146:T147)</f>
        <v>0</v>
      </c>
      <c r="U148" s="99">
        <f>SUM(U146:U147)</f>
        <v>81</v>
      </c>
      <c r="V148" s="101">
        <f>IF(I148-Q148=0,"",IF(D148="",(P148+S148)/(I148-Q148),IF(AND(D148&lt;&gt;"",(P148+S148)/(I148-Q148)&gt;=50%),(P148+S148)/(I148-Q148),"")))</f>
        <v>1</v>
      </c>
      <c r="W148" s="101">
        <f>IF(I148=O148,"",IF(V148="",0,(P148+Q148+S148-O148)/(I148-O148)))</f>
        <v>1</v>
      </c>
      <c r="X148" s="30"/>
      <c r="Y148" s="30"/>
      <c r="Z148" s="30"/>
      <c r="AA148" s="30"/>
      <c r="AB148" s="34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</row>
    <row r="149" spans="1:41" s="39" customFormat="1" ht="27" customHeight="1">
      <c r="A149" s="32"/>
      <c r="B149" s="151" t="s">
        <v>63</v>
      </c>
      <c r="C149" s="14" t="s">
        <v>217</v>
      </c>
      <c r="D149" s="29"/>
      <c r="E149" s="16" t="s">
        <v>27</v>
      </c>
      <c r="F149" s="15"/>
      <c r="G149" s="15"/>
      <c r="H149" s="15"/>
      <c r="I149" s="17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8"/>
      <c r="W149" s="18"/>
      <c r="X149" s="30"/>
      <c r="Y149" s="30"/>
      <c r="Z149" s="30"/>
      <c r="AA149" s="30"/>
      <c r="AB149" s="34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</row>
    <row r="150" spans="1:41" s="39" customFormat="1" ht="18.75" customHeight="1">
      <c r="A150" s="32">
        <v>56</v>
      </c>
      <c r="B150" s="140"/>
      <c r="C150" s="20" t="str">
        <f>IF(A150="","VARA",VLOOKUP(A150,'[1]varas'!$A$4:$B$67,2))</f>
        <v>1ª VT Ribeirão</v>
      </c>
      <c r="D150" s="29"/>
      <c r="E150" s="16"/>
      <c r="F150" s="15">
        <f>43+37+2+15</f>
        <v>97</v>
      </c>
      <c r="G150" s="15">
        <v>0</v>
      </c>
      <c r="H150" s="15">
        <v>16</v>
      </c>
      <c r="I150" s="17">
        <f>SUM(F150:H150)</f>
        <v>113</v>
      </c>
      <c r="J150" s="15">
        <v>0</v>
      </c>
      <c r="K150" s="15">
        <v>15</v>
      </c>
      <c r="L150" s="15">
        <v>2</v>
      </c>
      <c r="M150" s="15">
        <v>15</v>
      </c>
      <c r="N150" s="15">
        <v>0</v>
      </c>
      <c r="O150" s="15">
        <v>37</v>
      </c>
      <c r="P150" s="15">
        <f>SUM(J150:O150)</f>
        <v>69</v>
      </c>
      <c r="Q150" s="15">
        <v>9</v>
      </c>
      <c r="R150" s="15">
        <v>35</v>
      </c>
      <c r="S150" s="15">
        <v>0</v>
      </c>
      <c r="T150" s="15">
        <v>0</v>
      </c>
      <c r="U150" s="15">
        <v>165</v>
      </c>
      <c r="V150" s="18"/>
      <c r="W150" s="18"/>
      <c r="X150" s="30"/>
      <c r="Y150" s="30"/>
      <c r="Z150" s="30"/>
      <c r="AA150" s="30"/>
      <c r="AB150" s="34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</row>
    <row r="151" spans="1:41" s="39" customFormat="1" ht="18.75" customHeight="1">
      <c r="A151" s="32">
        <v>48</v>
      </c>
      <c r="B151" s="140"/>
      <c r="C151" s="20" t="str">
        <f>IF(A151="","VARA",VLOOKUP(A151,'[1]varas'!$A$4:$B$67,2))</f>
        <v>VT Catende</v>
      </c>
      <c r="D151" s="29"/>
      <c r="E151" s="16"/>
      <c r="F151" s="15">
        <v>0</v>
      </c>
      <c r="G151" s="15">
        <v>14</v>
      </c>
      <c r="H151" s="15">
        <v>5</v>
      </c>
      <c r="I151" s="17">
        <f>SUM(F151:H151)</f>
        <v>19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f>SUM(J151:O151)</f>
        <v>0</v>
      </c>
      <c r="Q151" s="15">
        <v>0</v>
      </c>
      <c r="R151" s="15">
        <v>19</v>
      </c>
      <c r="S151" s="15">
        <v>0</v>
      </c>
      <c r="T151" s="15">
        <v>0</v>
      </c>
      <c r="U151" s="15">
        <v>0</v>
      </c>
      <c r="V151" s="18"/>
      <c r="W151" s="18"/>
      <c r="X151" s="30"/>
      <c r="Y151" s="30"/>
      <c r="Z151" s="30"/>
      <c r="AA151" s="30"/>
      <c r="AB151" s="34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</row>
    <row r="152" spans="1:41" s="53" customFormat="1" ht="18" customHeight="1">
      <c r="A152" s="47"/>
      <c r="B152" s="141"/>
      <c r="C152" s="20" t="s">
        <v>12</v>
      </c>
      <c r="D152" s="24"/>
      <c r="E152" s="48"/>
      <c r="F152" s="24">
        <f>SUM(F149:F151)</f>
        <v>97</v>
      </c>
      <c r="G152" s="24">
        <f>SUM(G149:G151)</f>
        <v>14</v>
      </c>
      <c r="H152" s="24">
        <f>SUM(H149:H151)</f>
        <v>21</v>
      </c>
      <c r="I152" s="40">
        <f>SUM(F152:H152)</f>
        <v>132</v>
      </c>
      <c r="J152" s="24">
        <f aca="true" t="shared" si="44" ref="J152:O152">SUM(J149:J151)</f>
        <v>0</v>
      </c>
      <c r="K152" s="24">
        <f t="shared" si="44"/>
        <v>15</v>
      </c>
      <c r="L152" s="24">
        <f t="shared" si="44"/>
        <v>2</v>
      </c>
      <c r="M152" s="24">
        <f t="shared" si="44"/>
        <v>15</v>
      </c>
      <c r="N152" s="24">
        <f t="shared" si="44"/>
        <v>0</v>
      </c>
      <c r="O152" s="24">
        <f t="shared" si="44"/>
        <v>37</v>
      </c>
      <c r="P152" s="24">
        <f>SUM(J152:O152)</f>
        <v>69</v>
      </c>
      <c r="Q152" s="24">
        <f>SUM(Q149:Q151)</f>
        <v>9</v>
      </c>
      <c r="R152" s="24">
        <f>SUM(R149:R151)</f>
        <v>54</v>
      </c>
      <c r="S152" s="24">
        <f>SUM(S149:S151)</f>
        <v>0</v>
      </c>
      <c r="T152" s="24">
        <f>SUM(T149:T151)</f>
        <v>0</v>
      </c>
      <c r="U152" s="24">
        <f>SUM(U149:U151)</f>
        <v>165</v>
      </c>
      <c r="V152" s="26">
        <f>IF(I152-Q152=0,"",IF(D152="",(P152+S152)/(I152-Q152),IF(AND(D152&lt;&gt;"",(P152+S152)/(I152-Q152)&gt;=50%),(P152+S152)/(I152-Q152),"")))</f>
        <v>0.5609756097560976</v>
      </c>
      <c r="W152" s="26">
        <f>IF(I152=O152,"",IF(V152="",0,(P152+Q152+S152-O152)/(I152-O152)))</f>
        <v>0.43157894736842106</v>
      </c>
      <c r="X152" s="49"/>
      <c r="Y152" s="49"/>
      <c r="Z152" s="49"/>
      <c r="AA152" s="49"/>
      <c r="AB152" s="50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</row>
    <row r="153" spans="1:41" s="39" customFormat="1" ht="24" customHeight="1">
      <c r="A153" s="32"/>
      <c r="B153" s="129" t="s">
        <v>64</v>
      </c>
      <c r="C153" s="14" t="s">
        <v>158</v>
      </c>
      <c r="D153" s="29" t="s">
        <v>199</v>
      </c>
      <c r="E153" s="16" t="s">
        <v>235</v>
      </c>
      <c r="F153" s="15"/>
      <c r="G153" s="15"/>
      <c r="H153" s="15"/>
      <c r="I153" s="17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8"/>
      <c r="W153" s="18"/>
      <c r="X153" s="30"/>
      <c r="Y153" s="30"/>
      <c r="Z153" s="30"/>
      <c r="AA153" s="30"/>
      <c r="AB153" s="34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</row>
    <row r="154" spans="1:41" s="39" customFormat="1" ht="21" customHeight="1">
      <c r="A154" s="32">
        <v>44</v>
      </c>
      <c r="B154" s="136"/>
      <c r="C154" s="20" t="str">
        <f>IF(A154="","VARA",VLOOKUP(A154,'[1]varas'!$A$4:$B$67,2))</f>
        <v>2ª VT Petrolina</v>
      </c>
      <c r="D154" s="29"/>
      <c r="E154" s="16"/>
      <c r="F154" s="15">
        <f>50+32+4</f>
        <v>86</v>
      </c>
      <c r="G154" s="15">
        <v>7</v>
      </c>
      <c r="H154" s="15">
        <v>0</v>
      </c>
      <c r="I154" s="17">
        <f>SUM(F154:H154)</f>
        <v>93</v>
      </c>
      <c r="J154" s="15">
        <v>55</v>
      </c>
      <c r="K154" s="15">
        <v>1</v>
      </c>
      <c r="L154" s="15">
        <v>3</v>
      </c>
      <c r="M154" s="15">
        <v>1</v>
      </c>
      <c r="N154" s="15">
        <v>0</v>
      </c>
      <c r="O154" s="15">
        <v>32</v>
      </c>
      <c r="P154" s="15">
        <f>SUM(J154:O154)</f>
        <v>92</v>
      </c>
      <c r="Q154" s="15">
        <v>0</v>
      </c>
      <c r="R154" s="15">
        <v>1</v>
      </c>
      <c r="S154" s="15">
        <v>0</v>
      </c>
      <c r="T154" s="15">
        <v>0</v>
      </c>
      <c r="U154" s="15">
        <v>155</v>
      </c>
      <c r="V154" s="18"/>
      <c r="W154" s="18"/>
      <c r="X154" s="30"/>
      <c r="Y154" s="30"/>
      <c r="Z154" s="30"/>
      <c r="AA154" s="30"/>
      <c r="AB154" s="34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</row>
    <row r="155" spans="1:41" s="39" customFormat="1" ht="17.25" customHeight="1">
      <c r="A155" s="32"/>
      <c r="B155" s="136"/>
      <c r="C155" s="21" t="s">
        <v>12</v>
      </c>
      <c r="D155" s="33"/>
      <c r="E155" s="23"/>
      <c r="F155" s="24">
        <f>SUM(F153:F154)</f>
        <v>86</v>
      </c>
      <c r="G155" s="24">
        <f>SUM(G153:G154)</f>
        <v>7</v>
      </c>
      <c r="H155" s="24">
        <f>SUM(H153:H154)</f>
        <v>0</v>
      </c>
      <c r="I155" s="40">
        <f>SUM(F155:H155)</f>
        <v>93</v>
      </c>
      <c r="J155" s="24">
        <f aca="true" t="shared" si="45" ref="J155:O155">SUM(J153:J154)</f>
        <v>55</v>
      </c>
      <c r="K155" s="24">
        <f t="shared" si="45"/>
        <v>1</v>
      </c>
      <c r="L155" s="24">
        <f t="shared" si="45"/>
        <v>3</v>
      </c>
      <c r="M155" s="24">
        <f t="shared" si="45"/>
        <v>1</v>
      </c>
      <c r="N155" s="24">
        <f t="shared" si="45"/>
        <v>0</v>
      </c>
      <c r="O155" s="24">
        <f t="shared" si="45"/>
        <v>32</v>
      </c>
      <c r="P155" s="24">
        <f>SUM(J155:O155)</f>
        <v>92</v>
      </c>
      <c r="Q155" s="24">
        <f>SUM(Q153:Q154)</f>
        <v>0</v>
      </c>
      <c r="R155" s="24">
        <f>SUM(R153:R154)</f>
        <v>1</v>
      </c>
      <c r="S155" s="24">
        <f>SUM(S153:S154)</f>
        <v>0</v>
      </c>
      <c r="T155" s="24">
        <f>SUM(T153:T154)</f>
        <v>0</v>
      </c>
      <c r="U155" s="24">
        <f>SUM(U153:U154)</f>
        <v>155</v>
      </c>
      <c r="V155" s="26">
        <f>IF(I155-Q155=0,"",IF(D155="",(P155+S155)/(I155-Q155),IF(AND(D155&lt;&gt;"",(P155+S155)/(I155-Q155)&gt;=50%),(P155+S155)/(I155-Q155),"")))</f>
        <v>0.989247311827957</v>
      </c>
      <c r="W155" s="26">
        <f>IF(I155=O155,"",IF(V155="",0,(P155+Q155+S155-O155)/(I155-O155)))</f>
        <v>0.9836065573770492</v>
      </c>
      <c r="X155" s="30"/>
      <c r="Y155" s="30"/>
      <c r="Z155" s="30"/>
      <c r="AA155" s="30"/>
      <c r="AB155" s="34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</row>
    <row r="156" spans="1:41" s="39" customFormat="1" ht="21" customHeight="1">
      <c r="A156" s="32"/>
      <c r="B156" s="136" t="s">
        <v>65</v>
      </c>
      <c r="C156" s="14" t="s">
        <v>155</v>
      </c>
      <c r="D156" s="29"/>
      <c r="E156" s="16" t="s">
        <v>27</v>
      </c>
      <c r="F156" s="15"/>
      <c r="G156" s="15"/>
      <c r="H156" s="15"/>
      <c r="I156" s="17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8"/>
      <c r="W156" s="18"/>
      <c r="X156" s="30"/>
      <c r="Y156" s="30"/>
      <c r="Z156" s="30"/>
      <c r="AA156" s="30"/>
      <c r="AB156" s="34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</row>
    <row r="157" spans="1:41" s="39" customFormat="1" ht="16.5" customHeight="1">
      <c r="A157" s="32">
        <v>67</v>
      </c>
      <c r="B157" s="136"/>
      <c r="C157" s="20" t="s">
        <v>170</v>
      </c>
      <c r="D157" s="29"/>
      <c r="E157" s="16"/>
      <c r="F157" s="15">
        <f>36+60+3</f>
        <v>99</v>
      </c>
      <c r="G157" s="15">
        <v>5</v>
      </c>
      <c r="H157" s="15">
        <v>0</v>
      </c>
      <c r="I157" s="17">
        <f>SUM(F157:H157)</f>
        <v>104</v>
      </c>
      <c r="J157" s="15">
        <v>23</v>
      </c>
      <c r="K157" s="15">
        <v>5</v>
      </c>
      <c r="L157" s="15">
        <v>3</v>
      </c>
      <c r="M157" s="15">
        <v>0</v>
      </c>
      <c r="N157" s="15">
        <v>0</v>
      </c>
      <c r="O157" s="15">
        <v>60</v>
      </c>
      <c r="P157" s="15">
        <f>SUM(J157:O157)</f>
        <v>91</v>
      </c>
      <c r="Q157" s="15">
        <v>8</v>
      </c>
      <c r="R157" s="15">
        <v>4</v>
      </c>
      <c r="S157" s="15">
        <v>0</v>
      </c>
      <c r="T157" s="15">
        <v>1</v>
      </c>
      <c r="U157" s="15">
        <v>227</v>
      </c>
      <c r="V157" s="18"/>
      <c r="W157" s="18"/>
      <c r="X157" s="30"/>
      <c r="Y157" s="30"/>
      <c r="Z157" s="30"/>
      <c r="AA157" s="30"/>
      <c r="AB157" s="34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</row>
    <row r="158" spans="1:41" s="53" customFormat="1" ht="15" customHeight="1">
      <c r="A158" s="47"/>
      <c r="B158" s="136"/>
      <c r="C158" s="21" t="s">
        <v>12</v>
      </c>
      <c r="D158" s="51"/>
      <c r="E158" s="52"/>
      <c r="F158" s="24">
        <f>SUM(F156:F157)</f>
        <v>99</v>
      </c>
      <c r="G158" s="24">
        <f>SUM(G156:G157)</f>
        <v>5</v>
      </c>
      <c r="H158" s="24">
        <f>SUM(H156:H157)</f>
        <v>0</v>
      </c>
      <c r="I158" s="25">
        <f>SUM(F158:H158)</f>
        <v>104</v>
      </c>
      <c r="J158" s="24">
        <f aca="true" t="shared" si="46" ref="J158:O158">SUM(J156:J157)</f>
        <v>23</v>
      </c>
      <c r="K158" s="24">
        <f t="shared" si="46"/>
        <v>5</v>
      </c>
      <c r="L158" s="24">
        <f t="shared" si="46"/>
        <v>3</v>
      </c>
      <c r="M158" s="24">
        <f t="shared" si="46"/>
        <v>0</v>
      </c>
      <c r="N158" s="24">
        <f t="shared" si="46"/>
        <v>0</v>
      </c>
      <c r="O158" s="24">
        <f t="shared" si="46"/>
        <v>60</v>
      </c>
      <c r="P158" s="24">
        <f>SUM(J158:O158)</f>
        <v>91</v>
      </c>
      <c r="Q158" s="24">
        <f>SUM(Q156:Q157)</f>
        <v>8</v>
      </c>
      <c r="R158" s="24">
        <f>SUM(R156:R157)</f>
        <v>4</v>
      </c>
      <c r="S158" s="24">
        <f>SUM(S156:S157)</f>
        <v>0</v>
      </c>
      <c r="T158" s="24">
        <f>SUM(T156:T157)</f>
        <v>1</v>
      </c>
      <c r="U158" s="24">
        <f>SUM(U156:U157)</f>
        <v>227</v>
      </c>
      <c r="V158" s="26">
        <f>IF(I158-Q158=0,"",IF(D158="",(P158+S158)/(I158-Q158),IF(AND(D158&lt;&gt;"",(P158+S158)/(I158-Q158)&gt;=50%),(P158+S158)/(I158-Q158),"")))</f>
        <v>0.9479166666666666</v>
      </c>
      <c r="W158" s="26">
        <f>IF(I158=O158,"",IF(V158="",0,(P158+Q158+S158-O158)/(I158-O158)))</f>
        <v>0.8863636363636364</v>
      </c>
      <c r="X158" s="49"/>
      <c r="Y158" s="49"/>
      <c r="Z158" s="49"/>
      <c r="AA158" s="49"/>
      <c r="AB158" s="50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</row>
    <row r="159" spans="1:41" s="39" customFormat="1" ht="19.5" customHeight="1">
      <c r="A159" s="32"/>
      <c r="B159" s="136" t="s">
        <v>66</v>
      </c>
      <c r="C159" s="14" t="s">
        <v>2</v>
      </c>
      <c r="D159" s="29"/>
      <c r="E159" s="16" t="s">
        <v>27</v>
      </c>
      <c r="F159" s="15"/>
      <c r="G159" s="15"/>
      <c r="H159" s="15"/>
      <c r="I159" s="17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8"/>
      <c r="W159" s="18"/>
      <c r="X159" s="30"/>
      <c r="Y159" s="30"/>
      <c r="Z159" s="30"/>
      <c r="AA159" s="30"/>
      <c r="AB159" s="34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</row>
    <row r="160" spans="1:41" s="39" customFormat="1" ht="19.5" customHeight="1">
      <c r="A160" s="32">
        <v>41</v>
      </c>
      <c r="B160" s="136"/>
      <c r="C160" s="20" t="str">
        <f>IF(A160="","VARA",VLOOKUP(A160,'[1]varas'!$A$4:$B$67,2))</f>
        <v>1ª VT Paulista</v>
      </c>
      <c r="D160" s="15"/>
      <c r="E160" s="16"/>
      <c r="F160" s="15">
        <f>19+13+8</f>
        <v>40</v>
      </c>
      <c r="G160" s="15">
        <v>2</v>
      </c>
      <c r="H160" s="15">
        <v>0</v>
      </c>
      <c r="I160" s="17">
        <f>SUM(F160:H160)</f>
        <v>42</v>
      </c>
      <c r="J160" s="15">
        <v>20</v>
      </c>
      <c r="K160" s="15">
        <v>1</v>
      </c>
      <c r="L160" s="15">
        <v>8</v>
      </c>
      <c r="M160" s="15">
        <v>0</v>
      </c>
      <c r="N160" s="15">
        <v>0</v>
      </c>
      <c r="O160" s="15">
        <v>13</v>
      </c>
      <c r="P160" s="15">
        <f>SUM(J160:O160)</f>
        <v>42</v>
      </c>
      <c r="Q160" s="15">
        <v>0</v>
      </c>
      <c r="R160" s="15">
        <v>0</v>
      </c>
      <c r="S160" s="15">
        <v>0</v>
      </c>
      <c r="T160" s="15">
        <v>0</v>
      </c>
      <c r="U160" s="15">
        <v>47</v>
      </c>
      <c r="V160" s="18"/>
      <c r="W160" s="18"/>
      <c r="X160" s="30"/>
      <c r="Y160" s="30"/>
      <c r="Z160" s="30"/>
      <c r="AA160" s="30"/>
      <c r="AB160" s="34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</row>
    <row r="161" spans="1:41" s="39" customFormat="1" ht="24.75" customHeight="1">
      <c r="A161" s="32">
        <v>42</v>
      </c>
      <c r="B161" s="136"/>
      <c r="C161" s="20" t="str">
        <f>IF(A161="","VARA",VLOOKUP(A161,'[1]varas'!$A$4:$B$67,2))</f>
        <v>2ª VT Paulista</v>
      </c>
      <c r="D161" s="15"/>
      <c r="E161" s="16"/>
      <c r="F161" s="15">
        <f>50+21+4</f>
        <v>75</v>
      </c>
      <c r="G161" s="15">
        <v>2</v>
      </c>
      <c r="H161" s="15">
        <v>0</v>
      </c>
      <c r="I161" s="17">
        <f>SUM(F161:H161)</f>
        <v>77</v>
      </c>
      <c r="J161" s="15">
        <v>41</v>
      </c>
      <c r="K161" s="15">
        <v>11</v>
      </c>
      <c r="L161" s="15">
        <v>4</v>
      </c>
      <c r="M161" s="15">
        <v>0</v>
      </c>
      <c r="N161" s="15">
        <v>0</v>
      </c>
      <c r="O161" s="15">
        <v>21</v>
      </c>
      <c r="P161" s="15">
        <f>SUM(J161:O161)</f>
        <v>77</v>
      </c>
      <c r="Q161" s="15">
        <v>0</v>
      </c>
      <c r="R161" s="15">
        <v>0</v>
      </c>
      <c r="S161" s="15">
        <v>0</v>
      </c>
      <c r="T161" s="15">
        <v>0</v>
      </c>
      <c r="U161" s="15">
        <v>139</v>
      </c>
      <c r="V161" s="18"/>
      <c r="W161" s="18"/>
      <c r="X161" s="30"/>
      <c r="Y161" s="30"/>
      <c r="Z161" s="30"/>
      <c r="AA161" s="30"/>
      <c r="AB161" s="34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</row>
    <row r="162" spans="1:41" s="53" customFormat="1" ht="18" customHeight="1">
      <c r="A162" s="47"/>
      <c r="B162" s="130"/>
      <c r="C162" s="20" t="s">
        <v>12</v>
      </c>
      <c r="D162" s="24"/>
      <c r="E162" s="48"/>
      <c r="F162" s="24">
        <f>SUM(F159:F161)</f>
        <v>115</v>
      </c>
      <c r="G162" s="24">
        <f>SUM(G159:G161)</f>
        <v>4</v>
      </c>
      <c r="H162" s="24">
        <f>SUM(H159:H161)</f>
        <v>0</v>
      </c>
      <c r="I162" s="40">
        <f>SUM(F162:H162)</f>
        <v>119</v>
      </c>
      <c r="J162" s="24">
        <f aca="true" t="shared" si="47" ref="J162:O162">SUM(J159:J161)</f>
        <v>61</v>
      </c>
      <c r="K162" s="24">
        <f t="shared" si="47"/>
        <v>12</v>
      </c>
      <c r="L162" s="24">
        <f t="shared" si="47"/>
        <v>12</v>
      </c>
      <c r="M162" s="24">
        <f t="shared" si="47"/>
        <v>0</v>
      </c>
      <c r="N162" s="24">
        <f t="shared" si="47"/>
        <v>0</v>
      </c>
      <c r="O162" s="24">
        <f t="shared" si="47"/>
        <v>34</v>
      </c>
      <c r="P162" s="24">
        <f>SUM(J162:O162)</f>
        <v>119</v>
      </c>
      <c r="Q162" s="24">
        <f>SUM(Q159:Q161)</f>
        <v>0</v>
      </c>
      <c r="R162" s="24">
        <f>SUM(R159:R161)</f>
        <v>0</v>
      </c>
      <c r="S162" s="24">
        <f>SUM(S159:S161)</f>
        <v>0</v>
      </c>
      <c r="T162" s="24">
        <f>SUM(T159:T161)</f>
        <v>0</v>
      </c>
      <c r="U162" s="24">
        <f>SUM(U159:U161)</f>
        <v>186</v>
      </c>
      <c r="V162" s="26">
        <f>IF(I162-Q162=0,"",IF(D162="",(P162+S162)/(I162-Q162),IF(AND(D162&lt;&gt;"",(P162+S162)/(I162-Q162)&gt;=50%),(P162+S162)/(I162-Q162),"")))</f>
        <v>1</v>
      </c>
      <c r="W162" s="26">
        <f>IF(I162=O162,"",IF(V162="",0,(P162+Q162+S162-O162)/(I162-O162)))</f>
        <v>1</v>
      </c>
      <c r="X162" s="49"/>
      <c r="Y162" s="49"/>
      <c r="Z162" s="49"/>
      <c r="AA162" s="49"/>
      <c r="AB162" s="50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</row>
    <row r="163" spans="1:41" s="39" customFormat="1" ht="19.5" customHeight="1">
      <c r="A163" s="32"/>
      <c r="B163" s="137" t="s">
        <v>67</v>
      </c>
      <c r="C163" s="105" t="s">
        <v>2</v>
      </c>
      <c r="D163" s="29"/>
      <c r="E163" s="16" t="s">
        <v>27</v>
      </c>
      <c r="F163" s="15"/>
      <c r="G163" s="15"/>
      <c r="H163" s="15"/>
      <c r="I163" s="17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8"/>
      <c r="W163" s="18"/>
      <c r="X163" s="30"/>
      <c r="Y163" s="30"/>
      <c r="Z163" s="30"/>
      <c r="AA163" s="30"/>
      <c r="AB163" s="34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</row>
    <row r="164" spans="1:41" s="39" customFormat="1" ht="22.5" customHeight="1">
      <c r="A164" s="32">
        <v>68</v>
      </c>
      <c r="B164" s="138"/>
      <c r="C164" s="106" t="s">
        <v>173</v>
      </c>
      <c r="D164" s="15"/>
      <c r="E164" s="16"/>
      <c r="F164" s="15">
        <f>41+27+11</f>
        <v>79</v>
      </c>
      <c r="G164" s="15">
        <v>24</v>
      </c>
      <c r="H164" s="15">
        <v>0</v>
      </c>
      <c r="I164" s="17">
        <f>SUM(F164:H164)</f>
        <v>103</v>
      </c>
      <c r="J164" s="15">
        <v>40</v>
      </c>
      <c r="K164" s="15">
        <v>1</v>
      </c>
      <c r="L164" s="15">
        <v>15</v>
      </c>
      <c r="M164" s="15">
        <v>2</v>
      </c>
      <c r="N164" s="15">
        <v>0</v>
      </c>
      <c r="O164" s="15">
        <v>27</v>
      </c>
      <c r="P164" s="15">
        <f>SUM(J164:O164)</f>
        <v>85</v>
      </c>
      <c r="Q164" s="15">
        <v>16</v>
      </c>
      <c r="R164" s="15">
        <v>2</v>
      </c>
      <c r="S164" s="15">
        <v>0</v>
      </c>
      <c r="T164" s="15">
        <v>0</v>
      </c>
      <c r="U164" s="15">
        <v>134</v>
      </c>
      <c r="V164" s="18"/>
      <c r="W164" s="18"/>
      <c r="X164" s="30"/>
      <c r="Y164" s="30"/>
      <c r="Z164" s="30"/>
      <c r="AA164" s="30"/>
      <c r="AB164" s="34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</row>
    <row r="165" spans="1:41" s="53" customFormat="1" ht="16.5" customHeight="1">
      <c r="A165" s="47"/>
      <c r="B165" s="133"/>
      <c r="C165" s="106" t="s">
        <v>12</v>
      </c>
      <c r="D165" s="24"/>
      <c r="E165" s="48"/>
      <c r="F165" s="24">
        <f>SUM(F163:F164)</f>
        <v>79</v>
      </c>
      <c r="G165" s="24">
        <f>SUM(G163:G164)</f>
        <v>24</v>
      </c>
      <c r="H165" s="24">
        <f>SUM(H163:H164)</f>
        <v>0</v>
      </c>
      <c r="I165" s="40">
        <f>SUM(F165:H165)</f>
        <v>103</v>
      </c>
      <c r="J165" s="24">
        <f aca="true" t="shared" si="48" ref="J165:O165">SUM(J163:J164)</f>
        <v>40</v>
      </c>
      <c r="K165" s="24">
        <f t="shared" si="48"/>
        <v>1</v>
      </c>
      <c r="L165" s="24">
        <f t="shared" si="48"/>
        <v>15</v>
      </c>
      <c r="M165" s="24">
        <f t="shared" si="48"/>
        <v>2</v>
      </c>
      <c r="N165" s="24">
        <f t="shared" si="48"/>
        <v>0</v>
      </c>
      <c r="O165" s="24">
        <f t="shared" si="48"/>
        <v>27</v>
      </c>
      <c r="P165" s="24">
        <f>SUM(J165:O165)</f>
        <v>85</v>
      </c>
      <c r="Q165" s="24">
        <f>SUM(Q163:Q164)</f>
        <v>16</v>
      </c>
      <c r="R165" s="24">
        <f>SUM(R163:R164)</f>
        <v>2</v>
      </c>
      <c r="S165" s="24">
        <f>SUM(S163:S164)</f>
        <v>0</v>
      </c>
      <c r="T165" s="24">
        <f>SUM(T163:T164)</f>
        <v>0</v>
      </c>
      <c r="U165" s="24">
        <f>SUM(U163:U164)</f>
        <v>134</v>
      </c>
      <c r="V165" s="26">
        <f>IF(I165-Q165=0,"",IF(D165="",(P165+S165)/(I165-Q165),IF(AND(D165&lt;&gt;"",(P165+S165)/(I165-Q165)&gt;=50%),(P165+S165)/(I165-Q165),"")))</f>
        <v>0.9770114942528736</v>
      </c>
      <c r="W165" s="26">
        <f>IF(I165=O165,"",IF(V165="",0,(P165+Q165+S165-O165)/(I165-O165)))</f>
        <v>0.9736842105263158</v>
      </c>
      <c r="X165" s="49"/>
      <c r="Y165" s="49"/>
      <c r="Z165" s="49"/>
      <c r="AA165" s="49"/>
      <c r="AB165" s="50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</row>
    <row r="166" spans="1:41" s="53" customFormat="1" ht="21.75" customHeight="1">
      <c r="A166" s="47"/>
      <c r="B166" s="137" t="s">
        <v>176</v>
      </c>
      <c r="C166" s="105" t="s">
        <v>2</v>
      </c>
      <c r="D166" s="29" t="s">
        <v>30</v>
      </c>
      <c r="E166" s="16" t="s">
        <v>218</v>
      </c>
      <c r="F166" s="15"/>
      <c r="G166" s="15"/>
      <c r="H166" s="15"/>
      <c r="I166" s="17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8"/>
      <c r="W166" s="18"/>
      <c r="X166" s="49"/>
      <c r="Y166" s="49"/>
      <c r="Z166" s="49"/>
      <c r="AA166" s="49"/>
      <c r="AB166" s="50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</row>
    <row r="167" spans="1:41" s="53" customFormat="1" ht="20.25" customHeight="1">
      <c r="A167" s="32">
        <v>66</v>
      </c>
      <c r="B167" s="138"/>
      <c r="C167" s="106" t="s">
        <v>163</v>
      </c>
      <c r="D167" s="15"/>
      <c r="E167" s="16"/>
      <c r="F167" s="15">
        <f>31+17+7</f>
        <v>55</v>
      </c>
      <c r="G167" s="15">
        <v>0</v>
      </c>
      <c r="H167" s="15">
        <v>0</v>
      </c>
      <c r="I167" s="17">
        <f>SUM(F167:H167)</f>
        <v>55</v>
      </c>
      <c r="J167" s="15">
        <v>21</v>
      </c>
      <c r="K167" s="15">
        <v>10</v>
      </c>
      <c r="L167" s="15">
        <v>6</v>
      </c>
      <c r="M167" s="15">
        <v>1</v>
      </c>
      <c r="N167" s="15">
        <v>0</v>
      </c>
      <c r="O167" s="15">
        <v>17</v>
      </c>
      <c r="P167" s="15">
        <f>SUM(J167:O167)</f>
        <v>55</v>
      </c>
      <c r="Q167" s="15">
        <v>0</v>
      </c>
      <c r="R167" s="15">
        <v>0</v>
      </c>
      <c r="S167" s="15">
        <v>0</v>
      </c>
      <c r="T167" s="15">
        <v>0</v>
      </c>
      <c r="U167" s="15">
        <v>31</v>
      </c>
      <c r="V167" s="18"/>
      <c r="W167" s="18"/>
      <c r="X167" s="49"/>
      <c r="Y167" s="49"/>
      <c r="Z167" s="49"/>
      <c r="AA167" s="49"/>
      <c r="AB167" s="50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</row>
    <row r="168" spans="1:41" s="53" customFormat="1" ht="15.75" customHeight="1">
      <c r="A168" s="47"/>
      <c r="B168" s="133"/>
      <c r="C168" s="106" t="s">
        <v>12</v>
      </c>
      <c r="D168" s="24"/>
      <c r="E168" s="48"/>
      <c r="F168" s="24">
        <f>SUM(F166:F167)</f>
        <v>55</v>
      </c>
      <c r="G168" s="24">
        <f>SUM(G166:G167)</f>
        <v>0</v>
      </c>
      <c r="H168" s="24">
        <f>SUM(H166:H167)</f>
        <v>0</v>
      </c>
      <c r="I168" s="40">
        <f>SUM(F168:H168)</f>
        <v>55</v>
      </c>
      <c r="J168" s="24">
        <f aca="true" t="shared" si="49" ref="J168:O168">SUM(J166:J167)</f>
        <v>21</v>
      </c>
      <c r="K168" s="24">
        <f t="shared" si="49"/>
        <v>10</v>
      </c>
      <c r="L168" s="24">
        <f t="shared" si="49"/>
        <v>6</v>
      </c>
      <c r="M168" s="24">
        <f t="shared" si="49"/>
        <v>1</v>
      </c>
      <c r="N168" s="24">
        <f t="shared" si="49"/>
        <v>0</v>
      </c>
      <c r="O168" s="24">
        <f t="shared" si="49"/>
        <v>17</v>
      </c>
      <c r="P168" s="24">
        <f>SUM(J168:O168)</f>
        <v>55</v>
      </c>
      <c r="Q168" s="24">
        <f>SUM(Q166:Q167)</f>
        <v>0</v>
      </c>
      <c r="R168" s="24">
        <f>SUM(R166:R167)</f>
        <v>0</v>
      </c>
      <c r="S168" s="24">
        <f>SUM(S166:S167)</f>
        <v>0</v>
      </c>
      <c r="T168" s="24">
        <f>SUM(T166:T167)</f>
        <v>0</v>
      </c>
      <c r="U168" s="24">
        <f>SUM(U166:U167)</f>
        <v>31</v>
      </c>
      <c r="V168" s="26">
        <f>IF(I168-Q168=0,"",IF(D168="",(P168+S168)/(I168-Q168),IF(AND(D168&lt;&gt;"",(P168+S168)/(I168-Q168)&gt;=50%),(P168+S168)/(I168-Q168),"")))</f>
        <v>1</v>
      </c>
      <c r="W168" s="26">
        <f>IF(I168=O168,"",IF(V168="",0,(P168+Q168+S168-O168)/(I168-O168)))</f>
        <v>1</v>
      </c>
      <c r="X168" s="49"/>
      <c r="Y168" s="49"/>
      <c r="Z168" s="49"/>
      <c r="AA168" s="49"/>
      <c r="AB168" s="50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</row>
    <row r="169" spans="1:41" s="39" customFormat="1" ht="21" customHeight="1">
      <c r="A169" s="32"/>
      <c r="B169" s="129" t="s">
        <v>68</v>
      </c>
      <c r="C169" s="14" t="s">
        <v>2</v>
      </c>
      <c r="D169" s="29"/>
      <c r="E169" s="16" t="s">
        <v>27</v>
      </c>
      <c r="F169" s="15"/>
      <c r="G169" s="15"/>
      <c r="H169" s="15"/>
      <c r="I169" s="17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8"/>
      <c r="W169" s="18"/>
      <c r="X169" s="30"/>
      <c r="Y169" s="30"/>
      <c r="Z169" s="30"/>
      <c r="AA169" s="30"/>
      <c r="AB169" s="34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</row>
    <row r="170" spans="1:41" s="39" customFormat="1" ht="20.25" customHeight="1">
      <c r="A170" s="32">
        <v>15</v>
      </c>
      <c r="B170" s="136"/>
      <c r="C170" s="20" t="str">
        <f>IF(A170="","VARA",VLOOKUP(A170,'[1]varas'!$A$4:$B$67,2))</f>
        <v>15ª VT Recife</v>
      </c>
      <c r="D170" s="15"/>
      <c r="E170" s="16"/>
      <c r="F170" s="15">
        <f>61+50+5</f>
        <v>116</v>
      </c>
      <c r="G170" s="15">
        <v>24</v>
      </c>
      <c r="H170" s="15">
        <v>0</v>
      </c>
      <c r="I170" s="17">
        <f>SUM(F170:H170)</f>
        <v>140</v>
      </c>
      <c r="J170" s="15">
        <v>36</v>
      </c>
      <c r="K170" s="15">
        <v>25</v>
      </c>
      <c r="L170" s="15">
        <v>2</v>
      </c>
      <c r="M170" s="15">
        <v>3</v>
      </c>
      <c r="N170" s="15">
        <v>0</v>
      </c>
      <c r="O170" s="15">
        <v>50</v>
      </c>
      <c r="P170" s="15">
        <f>SUM(J170:O170)</f>
        <v>116</v>
      </c>
      <c r="Q170" s="15">
        <v>7</v>
      </c>
      <c r="R170" s="15">
        <v>17</v>
      </c>
      <c r="S170" s="15">
        <v>0</v>
      </c>
      <c r="T170" s="15">
        <v>0</v>
      </c>
      <c r="U170" s="15">
        <v>182</v>
      </c>
      <c r="V170" s="18"/>
      <c r="W170" s="18"/>
      <c r="X170" s="30"/>
      <c r="Y170" s="30"/>
      <c r="Z170" s="30"/>
      <c r="AA170" s="30"/>
      <c r="AB170" s="34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</row>
    <row r="171" spans="1:41" s="53" customFormat="1" ht="21" customHeight="1">
      <c r="A171" s="47"/>
      <c r="B171" s="130"/>
      <c r="C171" s="21" t="s">
        <v>12</v>
      </c>
      <c r="D171" s="51"/>
      <c r="E171" s="52"/>
      <c r="F171" s="24">
        <f>SUM(F169:F170)</f>
        <v>116</v>
      </c>
      <c r="G171" s="24">
        <f>SUM(G169:G170)</f>
        <v>24</v>
      </c>
      <c r="H171" s="24">
        <f>SUM(H169:H170)</f>
        <v>0</v>
      </c>
      <c r="I171" s="25">
        <f>SUM(F171:H171)</f>
        <v>140</v>
      </c>
      <c r="J171" s="24">
        <f aca="true" t="shared" si="50" ref="J171:O171">SUM(J169:J170)</f>
        <v>36</v>
      </c>
      <c r="K171" s="24">
        <f t="shared" si="50"/>
        <v>25</v>
      </c>
      <c r="L171" s="24">
        <f t="shared" si="50"/>
        <v>2</v>
      </c>
      <c r="M171" s="24">
        <f t="shared" si="50"/>
        <v>3</v>
      </c>
      <c r="N171" s="24">
        <f t="shared" si="50"/>
        <v>0</v>
      </c>
      <c r="O171" s="24">
        <f t="shared" si="50"/>
        <v>50</v>
      </c>
      <c r="P171" s="24">
        <f>SUM(J171:O171)</f>
        <v>116</v>
      </c>
      <c r="Q171" s="24">
        <f>SUM(Q169:Q170)</f>
        <v>7</v>
      </c>
      <c r="R171" s="24">
        <f>SUM(R169:R170)</f>
        <v>17</v>
      </c>
      <c r="S171" s="24">
        <f>SUM(S169:S170)</f>
        <v>0</v>
      </c>
      <c r="T171" s="24">
        <f>SUM(T169:T170)</f>
        <v>0</v>
      </c>
      <c r="U171" s="24">
        <f>SUM(U169:U170)</f>
        <v>182</v>
      </c>
      <c r="V171" s="26">
        <f>IF(I171-Q171=0,"",IF(D171="",(P171+S171)/(I171-Q171),IF(AND(D171&lt;&gt;"",(P171+S171)/(I171-Q171)&gt;=50%),(P171+S171)/(I171-Q171),"")))</f>
        <v>0.8721804511278195</v>
      </c>
      <c r="W171" s="26">
        <f>IF(I171=O171,"",IF(V171="",0,(P171+Q171+S171-O171)/(I171-O171)))</f>
        <v>0.8111111111111111</v>
      </c>
      <c r="X171" s="49"/>
      <c r="Y171" s="49"/>
      <c r="Z171" s="49"/>
      <c r="AA171" s="49"/>
      <c r="AB171" s="50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</row>
    <row r="172" spans="1:41" s="39" customFormat="1" ht="23.25" customHeight="1">
      <c r="A172" s="32"/>
      <c r="B172" s="137" t="s">
        <v>69</v>
      </c>
      <c r="C172" s="105" t="s">
        <v>2</v>
      </c>
      <c r="D172" s="29" t="s">
        <v>43</v>
      </c>
      <c r="E172" s="16" t="s">
        <v>219</v>
      </c>
      <c r="F172" s="15"/>
      <c r="G172" s="15"/>
      <c r="H172" s="15"/>
      <c r="I172" s="17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8"/>
      <c r="W172" s="18"/>
      <c r="X172" s="30"/>
      <c r="Y172" s="30"/>
      <c r="Z172" s="30"/>
      <c r="AA172" s="30"/>
      <c r="AB172" s="34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</row>
    <row r="173" spans="1:41" s="39" customFormat="1" ht="23.25" customHeight="1">
      <c r="A173" s="32">
        <v>28</v>
      </c>
      <c r="B173" s="138"/>
      <c r="C173" s="106" t="str">
        <f>IF(A173="","VARA",VLOOKUP(A173,'[1]varas'!$A$4:$B$67,2))</f>
        <v>1ª VT Caruaru</v>
      </c>
      <c r="D173" s="15"/>
      <c r="E173" s="16"/>
      <c r="F173" s="15">
        <f>40+13+19+6</f>
        <v>78</v>
      </c>
      <c r="G173" s="15">
        <v>0</v>
      </c>
      <c r="H173" s="15">
        <v>0</v>
      </c>
      <c r="I173" s="17">
        <f>SUM(F173:H173)</f>
        <v>78</v>
      </c>
      <c r="J173" s="15">
        <v>36</v>
      </c>
      <c r="K173" s="15">
        <v>2</v>
      </c>
      <c r="L173" s="15">
        <v>19</v>
      </c>
      <c r="M173" s="15">
        <v>6</v>
      </c>
      <c r="N173" s="15">
        <v>0</v>
      </c>
      <c r="O173" s="15">
        <v>13</v>
      </c>
      <c r="P173" s="15">
        <f>SUM(J173:O173)</f>
        <v>76</v>
      </c>
      <c r="Q173" s="15">
        <v>2</v>
      </c>
      <c r="R173" s="15">
        <v>0</v>
      </c>
      <c r="S173" s="15">
        <v>0</v>
      </c>
      <c r="T173" s="15">
        <v>0</v>
      </c>
      <c r="U173" s="15">
        <v>196</v>
      </c>
      <c r="V173" s="18"/>
      <c r="W173" s="18"/>
      <c r="X173" s="30"/>
      <c r="Y173" s="30"/>
      <c r="Z173" s="30"/>
      <c r="AA173" s="30"/>
      <c r="AB173" s="34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</row>
    <row r="174" spans="1:41" s="39" customFormat="1" ht="18" customHeight="1">
      <c r="A174" s="32"/>
      <c r="B174" s="133"/>
      <c r="C174" s="107" t="s">
        <v>12</v>
      </c>
      <c r="D174" s="33"/>
      <c r="E174" s="23"/>
      <c r="F174" s="24">
        <f>SUM(F172:F173)</f>
        <v>78</v>
      </c>
      <c r="G174" s="24">
        <f>SUM(G172:G173)</f>
        <v>0</v>
      </c>
      <c r="H174" s="24">
        <f>SUM(H172:H173)</f>
        <v>0</v>
      </c>
      <c r="I174" s="40">
        <f>SUM(F174:H174)</f>
        <v>78</v>
      </c>
      <c r="J174" s="24">
        <f aca="true" t="shared" si="51" ref="J174:O174">SUM(J172:J173)</f>
        <v>36</v>
      </c>
      <c r="K174" s="24">
        <f t="shared" si="51"/>
        <v>2</v>
      </c>
      <c r="L174" s="24">
        <f t="shared" si="51"/>
        <v>19</v>
      </c>
      <c r="M174" s="24">
        <f t="shared" si="51"/>
        <v>6</v>
      </c>
      <c r="N174" s="24">
        <f t="shared" si="51"/>
        <v>0</v>
      </c>
      <c r="O174" s="24">
        <f t="shared" si="51"/>
        <v>13</v>
      </c>
      <c r="P174" s="24">
        <f>SUM(J174:O174)</f>
        <v>76</v>
      </c>
      <c r="Q174" s="24">
        <f>SUM(Q172:Q173)</f>
        <v>2</v>
      </c>
      <c r="R174" s="24">
        <f>SUM(R172:R173)</f>
        <v>0</v>
      </c>
      <c r="S174" s="24">
        <f>SUM(S172:S173)</f>
        <v>0</v>
      </c>
      <c r="T174" s="24">
        <f>SUM(T172:T173)</f>
        <v>0</v>
      </c>
      <c r="U174" s="24">
        <f>SUM(U172:U173)</f>
        <v>196</v>
      </c>
      <c r="V174" s="26">
        <f>IF(I174-Q174=0,"",IF(D174="",(P174+S174)/(I174-Q174),IF(AND(D174&lt;&gt;"",(P174+S174)/(I174-Q174)&gt;=50%),(P174+S174)/(I174-Q174),"")))</f>
        <v>1</v>
      </c>
      <c r="W174" s="26">
        <f>IF(I174=O174,"",IF(V174="",0,(P174+Q174+S174-O174)/(I174-O174)))</f>
        <v>1</v>
      </c>
      <c r="X174" s="30"/>
      <c r="Y174" s="30"/>
      <c r="Z174" s="30"/>
      <c r="AA174" s="30"/>
      <c r="AB174" s="34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</row>
    <row r="175" spans="1:41" s="39" customFormat="1" ht="25.5" customHeight="1">
      <c r="A175" s="32"/>
      <c r="B175" s="137" t="s">
        <v>70</v>
      </c>
      <c r="C175" s="105" t="s">
        <v>2</v>
      </c>
      <c r="D175" s="29" t="s">
        <v>43</v>
      </c>
      <c r="E175" s="16" t="s">
        <v>220</v>
      </c>
      <c r="F175" s="15"/>
      <c r="G175" s="15"/>
      <c r="H175" s="15"/>
      <c r="I175" s="17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8"/>
      <c r="W175" s="18"/>
      <c r="X175" s="30"/>
      <c r="Y175" s="30"/>
      <c r="Z175" s="30"/>
      <c r="AA175" s="30"/>
      <c r="AB175" s="34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</row>
    <row r="176" spans="1:41" s="39" customFormat="1" ht="22.5" customHeight="1">
      <c r="A176" s="32">
        <v>33</v>
      </c>
      <c r="B176" s="138"/>
      <c r="C176" s="106" t="str">
        <f>IF(A176="","VARA",VLOOKUP(A176,'[1]varas'!$A$4:$B$67,2))</f>
        <v>2ª VT Ipojuca</v>
      </c>
      <c r="D176" s="29"/>
      <c r="E176" s="16"/>
      <c r="F176" s="15">
        <f>71+14+36+3</f>
        <v>124</v>
      </c>
      <c r="G176" s="15">
        <v>19</v>
      </c>
      <c r="H176" s="15">
        <v>3</v>
      </c>
      <c r="I176" s="17">
        <f>SUM(F176:H176)</f>
        <v>146</v>
      </c>
      <c r="J176" s="15">
        <v>25</v>
      </c>
      <c r="K176" s="15">
        <v>24</v>
      </c>
      <c r="L176" s="15">
        <v>36</v>
      </c>
      <c r="M176" s="15">
        <v>3</v>
      </c>
      <c r="N176" s="15">
        <v>0</v>
      </c>
      <c r="O176" s="15">
        <v>14</v>
      </c>
      <c r="P176" s="15">
        <f>SUM(J176:O176)</f>
        <v>102</v>
      </c>
      <c r="Q176" s="15">
        <v>18</v>
      </c>
      <c r="R176" s="15">
        <v>26</v>
      </c>
      <c r="S176" s="15">
        <v>0</v>
      </c>
      <c r="T176" s="15">
        <v>0</v>
      </c>
      <c r="U176" s="15">
        <v>192</v>
      </c>
      <c r="V176" s="18"/>
      <c r="W176" s="18"/>
      <c r="X176" s="30"/>
      <c r="Y176" s="30"/>
      <c r="Z176" s="30"/>
      <c r="AA176" s="30"/>
      <c r="AB176" s="34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</row>
    <row r="177" spans="1:41" s="39" customFormat="1" ht="22.5" customHeight="1">
      <c r="A177" s="32"/>
      <c r="B177" s="133"/>
      <c r="C177" s="107" t="s">
        <v>12</v>
      </c>
      <c r="D177" s="33"/>
      <c r="E177" s="23"/>
      <c r="F177" s="24">
        <f>SUM(F175:F176)</f>
        <v>124</v>
      </c>
      <c r="G177" s="24">
        <f>SUM(G175:G176)</f>
        <v>19</v>
      </c>
      <c r="H177" s="24">
        <f>SUM(H175:H176)</f>
        <v>3</v>
      </c>
      <c r="I177" s="40">
        <f>SUM(F177:H177)</f>
        <v>146</v>
      </c>
      <c r="J177" s="24">
        <f aca="true" t="shared" si="52" ref="J177:O177">SUM(J175:J176)</f>
        <v>25</v>
      </c>
      <c r="K177" s="24">
        <f t="shared" si="52"/>
        <v>24</v>
      </c>
      <c r="L177" s="24">
        <f t="shared" si="52"/>
        <v>36</v>
      </c>
      <c r="M177" s="24">
        <f t="shared" si="52"/>
        <v>3</v>
      </c>
      <c r="N177" s="24">
        <f t="shared" si="52"/>
        <v>0</v>
      </c>
      <c r="O177" s="24">
        <f t="shared" si="52"/>
        <v>14</v>
      </c>
      <c r="P177" s="24">
        <f>SUM(J177:O177)</f>
        <v>102</v>
      </c>
      <c r="Q177" s="24">
        <f>SUM(Q175:Q176)</f>
        <v>18</v>
      </c>
      <c r="R177" s="24">
        <f>SUM(R175:R176)</f>
        <v>26</v>
      </c>
      <c r="S177" s="24">
        <f>SUM(S175:S176)</f>
        <v>0</v>
      </c>
      <c r="T177" s="24">
        <f>SUM(T175:T176)</f>
        <v>0</v>
      </c>
      <c r="U177" s="24">
        <f>SUM(U175:U176)</f>
        <v>192</v>
      </c>
      <c r="V177" s="26">
        <f>IF(I177-Q177=0,"",IF(D177="",(P177+S177)/(I177-Q177),IF(AND(D177&lt;&gt;"",(P177+S177)/(I177-Q177)&gt;=50%),(P177+S177)/(I177-Q177),"")))</f>
        <v>0.796875</v>
      </c>
      <c r="W177" s="26">
        <f>IF(I177=O177,"",IF(V177="",0,(P177+Q177+S177-O177)/(I177-O177)))</f>
        <v>0.803030303030303</v>
      </c>
      <c r="X177" s="30"/>
      <c r="Y177" s="30"/>
      <c r="Z177" s="30"/>
      <c r="AA177" s="30"/>
      <c r="AB177" s="34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</row>
    <row r="178" spans="1:41" s="39" customFormat="1" ht="24" customHeight="1">
      <c r="A178" s="32"/>
      <c r="B178" s="129" t="s">
        <v>71</v>
      </c>
      <c r="C178" s="14" t="s">
        <v>2</v>
      </c>
      <c r="D178" s="29" t="s">
        <v>43</v>
      </c>
      <c r="E178" s="16" t="s">
        <v>221</v>
      </c>
      <c r="F178" s="15"/>
      <c r="G178" s="15"/>
      <c r="H178" s="15"/>
      <c r="I178" s="17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8"/>
      <c r="W178" s="18"/>
      <c r="X178" s="30"/>
      <c r="Y178" s="30"/>
      <c r="Z178" s="30"/>
      <c r="AA178" s="30"/>
      <c r="AB178" s="34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</row>
    <row r="179" spans="1:41" s="39" customFormat="1" ht="22.5" customHeight="1">
      <c r="A179" s="32">
        <v>47</v>
      </c>
      <c r="B179" s="136"/>
      <c r="C179" s="20" t="str">
        <f>IF(A179="","VARA",VLOOKUP(A179,'[1]varas'!$A$4:$B$67,2))</f>
        <v>VT Carpina</v>
      </c>
      <c r="D179" s="15"/>
      <c r="E179" s="16"/>
      <c r="F179" s="15">
        <f>32+83</f>
        <v>115</v>
      </c>
      <c r="G179" s="15">
        <v>6</v>
      </c>
      <c r="H179" s="15">
        <v>0</v>
      </c>
      <c r="I179" s="17">
        <f>SUM(F179:H179)</f>
        <v>121</v>
      </c>
      <c r="J179" s="15">
        <v>2</v>
      </c>
      <c r="K179" s="15">
        <v>22</v>
      </c>
      <c r="L179" s="15">
        <v>1</v>
      </c>
      <c r="M179" s="15">
        <v>2</v>
      </c>
      <c r="N179" s="15">
        <v>0</v>
      </c>
      <c r="O179" s="15">
        <v>80</v>
      </c>
      <c r="P179" s="15">
        <f>SUM(J179:O179)</f>
        <v>107</v>
      </c>
      <c r="Q179" s="15">
        <v>5</v>
      </c>
      <c r="R179" s="15">
        <v>9</v>
      </c>
      <c r="S179" s="15">
        <v>0</v>
      </c>
      <c r="T179" s="15">
        <v>0</v>
      </c>
      <c r="U179" s="15">
        <v>196</v>
      </c>
      <c r="V179" s="18"/>
      <c r="W179" s="18"/>
      <c r="X179" s="30"/>
      <c r="Y179" s="30"/>
      <c r="Z179" s="30"/>
      <c r="AA179" s="30"/>
      <c r="AB179" s="34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</row>
    <row r="180" spans="1:41" s="53" customFormat="1" ht="20.25" customHeight="1">
      <c r="A180" s="47"/>
      <c r="B180" s="136"/>
      <c r="C180" s="20" t="s">
        <v>12</v>
      </c>
      <c r="D180" s="24"/>
      <c r="E180" s="48"/>
      <c r="F180" s="24">
        <f>SUM(F178:F179)</f>
        <v>115</v>
      </c>
      <c r="G180" s="24">
        <f>SUM(G178:G179)</f>
        <v>6</v>
      </c>
      <c r="H180" s="24">
        <f>SUM(H178:H179)</f>
        <v>0</v>
      </c>
      <c r="I180" s="40">
        <f>SUM(F180:H180)</f>
        <v>121</v>
      </c>
      <c r="J180" s="24">
        <f aca="true" t="shared" si="53" ref="J180:O180">SUM(J178:J179)</f>
        <v>2</v>
      </c>
      <c r="K180" s="24">
        <f t="shared" si="53"/>
        <v>22</v>
      </c>
      <c r="L180" s="24">
        <f t="shared" si="53"/>
        <v>1</v>
      </c>
      <c r="M180" s="24">
        <f t="shared" si="53"/>
        <v>2</v>
      </c>
      <c r="N180" s="24">
        <f t="shared" si="53"/>
        <v>0</v>
      </c>
      <c r="O180" s="24">
        <f t="shared" si="53"/>
        <v>80</v>
      </c>
      <c r="P180" s="24">
        <f>SUM(J180:O180)</f>
        <v>107</v>
      </c>
      <c r="Q180" s="24">
        <f>SUM(Q178:Q179)</f>
        <v>5</v>
      </c>
      <c r="R180" s="24">
        <f>SUM(R178:R179)</f>
        <v>9</v>
      </c>
      <c r="S180" s="24">
        <f>SUM(S178:S179)</f>
        <v>0</v>
      </c>
      <c r="T180" s="24">
        <f>SUM(T178:T179)</f>
        <v>0</v>
      </c>
      <c r="U180" s="24">
        <f>SUM(U178:U179)</f>
        <v>196</v>
      </c>
      <c r="V180" s="26">
        <f>IF(I180-Q180=0,"",IF(D180="",(P180+S180)/(I180-Q180),IF(AND(D180&lt;&gt;"",(P180+S180)/(I180-Q180)&gt;=50%),(P180+S180)/(I180-Q180),"")))</f>
        <v>0.9224137931034483</v>
      </c>
      <c r="W180" s="26">
        <f>IF(I180=O180,"",IF(V180="",0,(P180+Q180+S180-O180)/(I180-O180)))</f>
        <v>0.7804878048780488</v>
      </c>
      <c r="X180" s="49"/>
      <c r="Y180" s="49"/>
      <c r="Z180" s="49"/>
      <c r="AA180" s="49"/>
      <c r="AB180" s="50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</row>
    <row r="181" spans="1:41" s="39" customFormat="1" ht="26.25" customHeight="1">
      <c r="A181" s="32"/>
      <c r="B181" s="136" t="s">
        <v>72</v>
      </c>
      <c r="C181" s="14" t="s">
        <v>158</v>
      </c>
      <c r="D181" s="15" t="s">
        <v>30</v>
      </c>
      <c r="E181" s="16" t="s">
        <v>222</v>
      </c>
      <c r="F181" s="15"/>
      <c r="G181" s="15"/>
      <c r="H181" s="15"/>
      <c r="I181" s="17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8"/>
      <c r="W181" s="18"/>
      <c r="X181" s="30"/>
      <c r="Y181" s="30"/>
      <c r="Z181" s="30"/>
      <c r="AA181" s="30"/>
      <c r="AB181" s="34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</row>
    <row r="182" spans="1:41" s="39" customFormat="1" ht="18.75" customHeight="1">
      <c r="A182" s="32">
        <v>5</v>
      </c>
      <c r="B182" s="136"/>
      <c r="C182" s="20" t="str">
        <f>IF(A182="","VARA",VLOOKUP(A182,'[1]varas'!$A$4:$B$67,2))</f>
        <v>5ª VT Recife</v>
      </c>
      <c r="D182" s="15"/>
      <c r="E182" s="16"/>
      <c r="F182" s="15">
        <v>32</v>
      </c>
      <c r="G182" s="15">
        <v>0</v>
      </c>
      <c r="H182" s="15">
        <v>0</v>
      </c>
      <c r="I182" s="17">
        <f>SUM(F182:H182)</f>
        <v>32</v>
      </c>
      <c r="J182" s="15">
        <v>10</v>
      </c>
      <c r="K182" s="15">
        <v>0</v>
      </c>
      <c r="L182" s="15">
        <v>11</v>
      </c>
      <c r="M182" s="15">
        <v>10</v>
      </c>
      <c r="N182" s="15">
        <v>1</v>
      </c>
      <c r="O182" s="15">
        <v>0</v>
      </c>
      <c r="P182" s="15">
        <f>SUM(J182:O182)</f>
        <v>32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8"/>
      <c r="W182" s="18"/>
      <c r="X182" s="30"/>
      <c r="Y182" s="30"/>
      <c r="Z182" s="30"/>
      <c r="AA182" s="30"/>
      <c r="AB182" s="34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</row>
    <row r="183" spans="1:41" s="39" customFormat="1" ht="21" customHeight="1">
      <c r="A183" s="32"/>
      <c r="B183" s="136"/>
      <c r="C183" s="21" t="s">
        <v>12</v>
      </c>
      <c r="D183" s="33"/>
      <c r="E183" s="23"/>
      <c r="F183" s="24">
        <f>SUM(F181:F182)</f>
        <v>32</v>
      </c>
      <c r="G183" s="24">
        <f>SUM(G181:G182)</f>
        <v>0</v>
      </c>
      <c r="H183" s="24">
        <f>SUM(H181:H182)</f>
        <v>0</v>
      </c>
      <c r="I183" s="25">
        <f>SUM(F183:H183)</f>
        <v>32</v>
      </c>
      <c r="J183" s="24">
        <f aca="true" t="shared" si="54" ref="J183:O183">SUM(J181:J182)</f>
        <v>10</v>
      </c>
      <c r="K183" s="24">
        <f t="shared" si="54"/>
        <v>0</v>
      </c>
      <c r="L183" s="24">
        <f t="shared" si="54"/>
        <v>11</v>
      </c>
      <c r="M183" s="24">
        <f t="shared" si="54"/>
        <v>10</v>
      </c>
      <c r="N183" s="24">
        <f t="shared" si="54"/>
        <v>1</v>
      </c>
      <c r="O183" s="24">
        <f t="shared" si="54"/>
        <v>0</v>
      </c>
      <c r="P183" s="24">
        <f>SUM(J183:O183)</f>
        <v>32</v>
      </c>
      <c r="Q183" s="24">
        <f>SUM(Q181:Q182)</f>
        <v>0</v>
      </c>
      <c r="R183" s="24">
        <f>SUM(R181:R182)</f>
        <v>0</v>
      </c>
      <c r="S183" s="24">
        <f>SUM(S181:S182)</f>
        <v>0</v>
      </c>
      <c r="T183" s="24">
        <f>SUM(T181:T182)</f>
        <v>0</v>
      </c>
      <c r="U183" s="24">
        <f>SUM(U181:U182)</f>
        <v>0</v>
      </c>
      <c r="V183" s="26">
        <f>IF(I183-Q183=0,"",IF(D183="",(P183+S183)/(I183-Q183),IF(AND(D183&lt;&gt;"",(P183+S183)/(I183-Q183)&gt;=50%),(P183+S183)/(I183-Q183),"")))</f>
        <v>1</v>
      </c>
      <c r="W183" s="26">
        <f>IF(I183=O183,"",IF(V183="",0,(P183+Q183+S183-O183)/(I183-O183)))</f>
        <v>1</v>
      </c>
      <c r="X183" s="30"/>
      <c r="Y183" s="30"/>
      <c r="Z183" s="30"/>
      <c r="AA183" s="30"/>
      <c r="AB183" s="34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</row>
    <row r="184" spans="1:41" s="39" customFormat="1" ht="21.75" customHeight="1">
      <c r="A184" s="32"/>
      <c r="B184" s="136" t="s">
        <v>190</v>
      </c>
      <c r="C184" s="14" t="s">
        <v>155</v>
      </c>
      <c r="D184" s="29"/>
      <c r="E184" s="16" t="s">
        <v>27</v>
      </c>
      <c r="F184" s="15"/>
      <c r="G184" s="15"/>
      <c r="H184" s="15"/>
      <c r="I184" s="17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8"/>
      <c r="W184" s="18"/>
      <c r="X184" s="30"/>
      <c r="Y184" s="30"/>
      <c r="Z184" s="30"/>
      <c r="AA184" s="30"/>
      <c r="AB184" s="34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</row>
    <row r="185" spans="1:41" s="39" customFormat="1" ht="21" customHeight="1">
      <c r="A185" s="32">
        <v>12</v>
      </c>
      <c r="B185" s="136"/>
      <c r="C185" s="20" t="str">
        <f>IF(A185="","VARA",VLOOKUP(A185,'[1]varas'!$A$4:$B$67,2))</f>
        <v>12ª VT Recife</v>
      </c>
      <c r="D185" s="29"/>
      <c r="E185" s="16"/>
      <c r="F185" s="15">
        <f>41+22+5</f>
        <v>68</v>
      </c>
      <c r="G185" s="15">
        <v>17</v>
      </c>
      <c r="H185" s="15">
        <v>20</v>
      </c>
      <c r="I185" s="17">
        <f>SUM(F185:H185)</f>
        <v>105</v>
      </c>
      <c r="J185" s="15">
        <v>38</v>
      </c>
      <c r="K185" s="15">
        <v>15</v>
      </c>
      <c r="L185" s="15">
        <v>1</v>
      </c>
      <c r="M185" s="15">
        <v>4</v>
      </c>
      <c r="N185" s="15">
        <v>0</v>
      </c>
      <c r="O185" s="15">
        <v>22</v>
      </c>
      <c r="P185" s="15">
        <f>SUM(J185:O185)</f>
        <v>80</v>
      </c>
      <c r="Q185" s="15">
        <v>17</v>
      </c>
      <c r="R185" s="15">
        <v>1</v>
      </c>
      <c r="S185" s="15">
        <v>0</v>
      </c>
      <c r="T185" s="15">
        <v>7</v>
      </c>
      <c r="U185" s="15">
        <v>105</v>
      </c>
      <c r="V185" s="18"/>
      <c r="W185" s="18"/>
      <c r="X185" s="30"/>
      <c r="Y185" s="30"/>
      <c r="Z185" s="30"/>
      <c r="AA185" s="30"/>
      <c r="AB185" s="34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</row>
    <row r="186" spans="1:41" s="53" customFormat="1" ht="20.25" customHeight="1">
      <c r="A186" s="47"/>
      <c r="B186" s="136"/>
      <c r="C186" s="21" t="s">
        <v>12</v>
      </c>
      <c r="D186" s="51"/>
      <c r="E186" s="52"/>
      <c r="F186" s="24">
        <f>SUM(F184:F185)</f>
        <v>68</v>
      </c>
      <c r="G186" s="24">
        <f>SUM(G184:G185)</f>
        <v>17</v>
      </c>
      <c r="H186" s="24">
        <f>SUM(H184:H185)</f>
        <v>20</v>
      </c>
      <c r="I186" s="25">
        <f>SUM(F186:H186)</f>
        <v>105</v>
      </c>
      <c r="J186" s="24">
        <f aca="true" t="shared" si="55" ref="J186:O186">SUM(J184:J185)</f>
        <v>38</v>
      </c>
      <c r="K186" s="24">
        <f t="shared" si="55"/>
        <v>15</v>
      </c>
      <c r="L186" s="24">
        <f t="shared" si="55"/>
        <v>1</v>
      </c>
      <c r="M186" s="24">
        <f t="shared" si="55"/>
        <v>4</v>
      </c>
      <c r="N186" s="24">
        <f t="shared" si="55"/>
        <v>0</v>
      </c>
      <c r="O186" s="24">
        <f t="shared" si="55"/>
        <v>22</v>
      </c>
      <c r="P186" s="24">
        <f>SUM(J186:O186)</f>
        <v>80</v>
      </c>
      <c r="Q186" s="24">
        <f>SUM(Q184:Q185)</f>
        <v>17</v>
      </c>
      <c r="R186" s="24">
        <f>SUM(R184:R185)</f>
        <v>1</v>
      </c>
      <c r="S186" s="24">
        <f>SUM(S184:S185)</f>
        <v>0</v>
      </c>
      <c r="T186" s="24">
        <f>SUM(T184:T185)</f>
        <v>7</v>
      </c>
      <c r="U186" s="24">
        <f>SUM(U184:U185)</f>
        <v>105</v>
      </c>
      <c r="V186" s="26">
        <f>IF(I186-Q186=0,"",IF(D186="",(P186+S186)/(I186-Q186),IF(AND(D186&lt;&gt;"",(P186+S186)/(I186-Q186)&gt;=50%),(P186+S186)/(I186-Q186),"")))</f>
        <v>0.9090909090909091</v>
      </c>
      <c r="W186" s="26">
        <f>IF(I186=O186,"",IF(V186="",0,(P186+Q186+S186-O186)/(I186-O186)))</f>
        <v>0.9036144578313253</v>
      </c>
      <c r="X186" s="49"/>
      <c r="Y186" s="49"/>
      <c r="Z186" s="49"/>
      <c r="AA186" s="49"/>
      <c r="AB186" s="50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</row>
    <row r="187" spans="1:41" s="39" customFormat="1" ht="21.75" customHeight="1">
      <c r="A187" s="32"/>
      <c r="B187" s="136" t="s">
        <v>73</v>
      </c>
      <c r="C187" s="14" t="s">
        <v>158</v>
      </c>
      <c r="D187" s="29"/>
      <c r="E187" s="16" t="s">
        <v>27</v>
      </c>
      <c r="F187" s="15"/>
      <c r="G187" s="15"/>
      <c r="H187" s="15"/>
      <c r="I187" s="17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8"/>
      <c r="W187" s="18"/>
      <c r="X187" s="30"/>
      <c r="Y187" s="30"/>
      <c r="Z187" s="30"/>
      <c r="AA187" s="30"/>
      <c r="AB187" s="34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</row>
    <row r="188" spans="1:41" s="39" customFormat="1" ht="19.5" customHeight="1">
      <c r="A188" s="32">
        <v>31</v>
      </c>
      <c r="B188" s="136"/>
      <c r="C188" s="20" t="str">
        <f>IF(A188="","VARA",VLOOKUP(A188,'[1]varas'!$A$4:$B$67,2))</f>
        <v>1ª VT Igarassu</v>
      </c>
      <c r="D188" s="15"/>
      <c r="E188" s="16"/>
      <c r="F188" s="15">
        <f>26+54+12</f>
        <v>92</v>
      </c>
      <c r="G188" s="15">
        <v>0</v>
      </c>
      <c r="H188" s="15">
        <v>0</v>
      </c>
      <c r="I188" s="17">
        <f>SUM(F188:H188)</f>
        <v>92</v>
      </c>
      <c r="J188" s="15">
        <v>18</v>
      </c>
      <c r="K188" s="15">
        <v>7</v>
      </c>
      <c r="L188" s="15">
        <v>3</v>
      </c>
      <c r="M188" s="15">
        <v>9</v>
      </c>
      <c r="N188" s="15">
        <v>0</v>
      </c>
      <c r="O188" s="15">
        <v>54</v>
      </c>
      <c r="P188" s="15">
        <f>SUM(J188:O188)</f>
        <v>91</v>
      </c>
      <c r="Q188" s="15">
        <v>1</v>
      </c>
      <c r="R188" s="15">
        <v>0</v>
      </c>
      <c r="S188" s="15">
        <v>0</v>
      </c>
      <c r="T188" s="15">
        <v>0</v>
      </c>
      <c r="U188" s="15">
        <v>125</v>
      </c>
      <c r="V188" s="18"/>
      <c r="W188" s="18"/>
      <c r="X188" s="30"/>
      <c r="Y188" s="30"/>
      <c r="Z188" s="30"/>
      <c r="AA188" s="30"/>
      <c r="AB188" s="34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</row>
    <row r="189" spans="1:41" s="53" customFormat="1" ht="20.25" customHeight="1">
      <c r="A189" s="47"/>
      <c r="B189" s="130"/>
      <c r="C189" s="21" t="s">
        <v>12</v>
      </c>
      <c r="D189" s="51"/>
      <c r="E189" s="52"/>
      <c r="F189" s="24">
        <f>SUM(F187:F188)</f>
        <v>92</v>
      </c>
      <c r="G189" s="24">
        <f>SUM(G187:G188)</f>
        <v>0</v>
      </c>
      <c r="H189" s="24">
        <f>SUM(H187:H188)</f>
        <v>0</v>
      </c>
      <c r="I189" s="25">
        <f>SUM(F189:H189)</f>
        <v>92</v>
      </c>
      <c r="J189" s="24">
        <f aca="true" t="shared" si="56" ref="J189:O189">SUM(J187:J188)</f>
        <v>18</v>
      </c>
      <c r="K189" s="24">
        <f t="shared" si="56"/>
        <v>7</v>
      </c>
      <c r="L189" s="24">
        <f t="shared" si="56"/>
        <v>3</v>
      </c>
      <c r="M189" s="24">
        <f t="shared" si="56"/>
        <v>9</v>
      </c>
      <c r="N189" s="24">
        <f t="shared" si="56"/>
        <v>0</v>
      </c>
      <c r="O189" s="24">
        <f t="shared" si="56"/>
        <v>54</v>
      </c>
      <c r="P189" s="24">
        <f>SUM(J189:O189)</f>
        <v>91</v>
      </c>
      <c r="Q189" s="24">
        <f>SUM(Q187:Q188)</f>
        <v>1</v>
      </c>
      <c r="R189" s="24">
        <f>SUM(R187:R188)</f>
        <v>0</v>
      </c>
      <c r="S189" s="24">
        <f>SUM(S187:S188)</f>
        <v>0</v>
      </c>
      <c r="T189" s="24">
        <f>SUM(T187:T188)</f>
        <v>0</v>
      </c>
      <c r="U189" s="24">
        <f>SUM(U187:U188)</f>
        <v>125</v>
      </c>
      <c r="V189" s="26">
        <f>IF(I189-Q189=0,"",IF(D189="",(P189+S189)/(I189-Q189),IF(AND(D189&lt;&gt;"",(P189+S189)/(I189-Q189)&gt;=50%),(P189+S189)/(I189-Q189),"")))</f>
        <v>1</v>
      </c>
      <c r="W189" s="26">
        <f>IF(I189=O189,"",IF(V189="",0,(P189+Q189+S189-O189)/(I189-O189)))</f>
        <v>1</v>
      </c>
      <c r="X189" s="49"/>
      <c r="Y189" s="49"/>
      <c r="Z189" s="49"/>
      <c r="AA189" s="49"/>
      <c r="AB189" s="50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</row>
    <row r="190" spans="1:41" s="39" customFormat="1" ht="24" customHeight="1">
      <c r="A190" s="32"/>
      <c r="B190" s="137" t="s">
        <v>74</v>
      </c>
      <c r="C190" s="105" t="s">
        <v>155</v>
      </c>
      <c r="D190" s="29" t="s">
        <v>43</v>
      </c>
      <c r="E190" s="16" t="s">
        <v>223</v>
      </c>
      <c r="F190" s="15"/>
      <c r="G190" s="15"/>
      <c r="H190" s="15"/>
      <c r="I190" s="17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8"/>
      <c r="W190" s="18"/>
      <c r="X190" s="30"/>
      <c r="Y190" s="30"/>
      <c r="Z190" s="30"/>
      <c r="AA190" s="30"/>
      <c r="AB190" s="34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</row>
    <row r="191" spans="1:41" s="39" customFormat="1" ht="22.5" customHeight="1">
      <c r="A191" s="32">
        <v>2</v>
      </c>
      <c r="B191" s="138"/>
      <c r="C191" s="106" t="str">
        <f>IF(A191="","VARA",VLOOKUP(A191,'[1]varas'!$A$4:$B$67,2))</f>
        <v>2ª VT Recife</v>
      </c>
      <c r="D191" s="29"/>
      <c r="E191" s="16"/>
      <c r="F191" s="15">
        <f>15+10</f>
        <v>25</v>
      </c>
      <c r="G191" s="15">
        <v>14</v>
      </c>
      <c r="H191" s="15">
        <v>31</v>
      </c>
      <c r="I191" s="17">
        <f>SUM(F191:H191)</f>
        <v>70</v>
      </c>
      <c r="J191" s="15">
        <v>52</v>
      </c>
      <c r="K191" s="15">
        <v>0</v>
      </c>
      <c r="L191" s="15">
        <v>1</v>
      </c>
      <c r="M191" s="15">
        <v>0</v>
      </c>
      <c r="N191" s="15">
        <v>0</v>
      </c>
      <c r="O191" s="15">
        <v>9</v>
      </c>
      <c r="P191" s="15">
        <f>SUM(J191:O191)</f>
        <v>62</v>
      </c>
      <c r="Q191" s="15">
        <v>0</v>
      </c>
      <c r="R191" s="15">
        <v>8</v>
      </c>
      <c r="S191" s="15">
        <v>0</v>
      </c>
      <c r="T191" s="15">
        <v>0</v>
      </c>
      <c r="U191" s="15">
        <v>44</v>
      </c>
      <c r="V191" s="18"/>
      <c r="W191" s="18"/>
      <c r="X191" s="30"/>
      <c r="Y191" s="30"/>
      <c r="Z191" s="30"/>
      <c r="AA191" s="30"/>
      <c r="AB191" s="34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</row>
    <row r="192" spans="1:41" s="39" customFormat="1" ht="22.5" customHeight="1">
      <c r="A192" s="32">
        <v>6</v>
      </c>
      <c r="B192" s="138"/>
      <c r="C192" s="106" t="str">
        <f>IF(A192="","VARA",VLOOKUP(A192,'[1]varas'!$A$4:$B$67,2))</f>
        <v>6ª VT Recife</v>
      </c>
      <c r="D192" s="29"/>
      <c r="E192" s="16"/>
      <c r="F192" s="15">
        <v>8</v>
      </c>
      <c r="G192" s="15">
        <v>0</v>
      </c>
      <c r="H192" s="15">
        <v>0</v>
      </c>
      <c r="I192" s="17">
        <f>SUM(F192:H192)</f>
        <v>8</v>
      </c>
      <c r="J192" s="15">
        <v>0</v>
      </c>
      <c r="K192" s="15">
        <v>0</v>
      </c>
      <c r="L192" s="15">
        <v>0</v>
      </c>
      <c r="M192" s="15">
        <v>1</v>
      </c>
      <c r="N192" s="15">
        <v>0</v>
      </c>
      <c r="O192" s="15">
        <v>2</v>
      </c>
      <c r="P192" s="15">
        <f>SUM(J192:O192)</f>
        <v>3</v>
      </c>
      <c r="Q192" s="15">
        <v>0</v>
      </c>
      <c r="R192" s="15">
        <v>5</v>
      </c>
      <c r="S192" s="15">
        <v>0</v>
      </c>
      <c r="T192" s="15">
        <v>0</v>
      </c>
      <c r="U192" s="15">
        <v>20</v>
      </c>
      <c r="V192" s="18"/>
      <c r="W192" s="18"/>
      <c r="X192" s="30"/>
      <c r="Y192" s="30"/>
      <c r="Z192" s="30"/>
      <c r="AA192" s="30"/>
      <c r="AB192" s="34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</row>
    <row r="193" spans="1:41" s="39" customFormat="1" ht="22.5" customHeight="1">
      <c r="A193" s="32">
        <v>12</v>
      </c>
      <c r="B193" s="138"/>
      <c r="C193" s="106" t="str">
        <f>IF(A193="","VARA",VLOOKUP(A193,'[1]varas'!$A$4:$B$67,2))</f>
        <v>12ª VT Recife</v>
      </c>
      <c r="D193" s="29"/>
      <c r="E193" s="16"/>
      <c r="F193" s="15">
        <v>0</v>
      </c>
      <c r="G193" s="15">
        <v>0</v>
      </c>
      <c r="H193" s="15">
        <v>4</v>
      </c>
      <c r="I193" s="17">
        <f>SUM(F193:H193)</f>
        <v>4</v>
      </c>
      <c r="J193" s="15">
        <v>4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f>SUM(J193:O193)</f>
        <v>4</v>
      </c>
      <c r="Q193" s="15">
        <v>0</v>
      </c>
      <c r="R193" s="15">
        <v>0</v>
      </c>
      <c r="S193" s="15">
        <v>0</v>
      </c>
      <c r="T193" s="15">
        <v>0</v>
      </c>
      <c r="U193" s="15">
        <v>0</v>
      </c>
      <c r="V193" s="18"/>
      <c r="W193" s="18"/>
      <c r="X193" s="30"/>
      <c r="Y193" s="30"/>
      <c r="Z193" s="30"/>
      <c r="AA193" s="30"/>
      <c r="AB193" s="34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</row>
    <row r="194" spans="1:41" s="39" customFormat="1" ht="21" customHeight="1">
      <c r="A194" s="32">
        <v>16</v>
      </c>
      <c r="B194" s="138"/>
      <c r="C194" s="106" t="str">
        <f>IF(A194="","VARA",VLOOKUP(A194,'[1]varas'!$A$4:$B$67,2))</f>
        <v>16ª VT Recife</v>
      </c>
      <c r="D194" s="29"/>
      <c r="E194" s="16"/>
      <c r="F194" s="15">
        <v>0</v>
      </c>
      <c r="G194" s="15">
        <v>2</v>
      </c>
      <c r="H194" s="15">
        <v>1</v>
      </c>
      <c r="I194" s="17">
        <f>SUM(F194:H194)</f>
        <v>3</v>
      </c>
      <c r="J194" s="15">
        <v>1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f>SUM(J194:O194)</f>
        <v>1</v>
      </c>
      <c r="Q194" s="15">
        <v>0</v>
      </c>
      <c r="R194" s="15">
        <v>2</v>
      </c>
      <c r="S194" s="15">
        <v>0</v>
      </c>
      <c r="T194" s="15">
        <v>0</v>
      </c>
      <c r="U194" s="15">
        <v>0</v>
      </c>
      <c r="V194" s="18"/>
      <c r="W194" s="18"/>
      <c r="X194" s="30"/>
      <c r="Y194" s="30"/>
      <c r="Z194" s="30"/>
      <c r="AA194" s="30"/>
      <c r="AB194" s="34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</row>
    <row r="195" spans="1:41" s="53" customFormat="1" ht="19.5" customHeight="1">
      <c r="A195" s="47"/>
      <c r="B195" s="133"/>
      <c r="C195" s="106" t="s">
        <v>12</v>
      </c>
      <c r="D195" s="24"/>
      <c r="E195" s="48"/>
      <c r="F195" s="24">
        <f>SUM(F190:F194)</f>
        <v>33</v>
      </c>
      <c r="G195" s="24">
        <f>SUM(G190:G194)</f>
        <v>16</v>
      </c>
      <c r="H195" s="24">
        <f>SUM(H190:H194)</f>
        <v>36</v>
      </c>
      <c r="I195" s="40">
        <f>SUM(F195:H195)</f>
        <v>85</v>
      </c>
      <c r="J195" s="24">
        <f aca="true" t="shared" si="57" ref="J195:O195">SUM(J190:J194)</f>
        <v>57</v>
      </c>
      <c r="K195" s="24">
        <f t="shared" si="57"/>
        <v>0</v>
      </c>
      <c r="L195" s="24">
        <f t="shared" si="57"/>
        <v>1</v>
      </c>
      <c r="M195" s="24">
        <f t="shared" si="57"/>
        <v>1</v>
      </c>
      <c r="N195" s="24">
        <f t="shared" si="57"/>
        <v>0</v>
      </c>
      <c r="O195" s="24">
        <f t="shared" si="57"/>
        <v>11</v>
      </c>
      <c r="P195" s="24">
        <f>SUM(J195:O195)</f>
        <v>70</v>
      </c>
      <c r="Q195" s="24">
        <f>SUM(Q190:Q194)</f>
        <v>0</v>
      </c>
      <c r="R195" s="24">
        <f>SUM(R190:R194)</f>
        <v>15</v>
      </c>
      <c r="S195" s="24">
        <f>SUM(S190:S194)</f>
        <v>0</v>
      </c>
      <c r="T195" s="24">
        <f>SUM(T190:T194)</f>
        <v>0</v>
      </c>
      <c r="U195" s="24">
        <f>SUM(U190:U194)</f>
        <v>64</v>
      </c>
      <c r="V195" s="26">
        <f>IF(I195-Q195=0,"",IF(D195="",(P195+S195)/(I195-Q195),IF(AND(D195&lt;&gt;"",(P195+S195)/(I195-Q195)&gt;=50%),(P195+S195)/(I195-Q195),"")))</f>
        <v>0.8235294117647058</v>
      </c>
      <c r="W195" s="26">
        <f>IF(I195=O195,"",IF(V195="",0,(P195+Q195+S195-O195)/(I195-O195)))</f>
        <v>0.7972972972972973</v>
      </c>
      <c r="X195" s="49"/>
      <c r="Y195" s="49"/>
      <c r="Z195" s="49"/>
      <c r="AA195" s="49"/>
      <c r="AB195" s="50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</row>
    <row r="196" spans="1:41" s="39" customFormat="1" ht="24.75" customHeight="1">
      <c r="A196" s="32"/>
      <c r="B196" s="129" t="s">
        <v>75</v>
      </c>
      <c r="C196" s="14" t="s">
        <v>217</v>
      </c>
      <c r="D196" s="29" t="s">
        <v>43</v>
      </c>
      <c r="E196" s="16" t="s">
        <v>224</v>
      </c>
      <c r="F196" s="15"/>
      <c r="G196" s="15"/>
      <c r="H196" s="15"/>
      <c r="I196" s="17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8"/>
      <c r="W196" s="18"/>
      <c r="X196" s="30"/>
      <c r="Y196" s="30"/>
      <c r="Z196" s="30"/>
      <c r="AA196" s="30"/>
      <c r="AB196" s="34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</row>
    <row r="197" spans="1:41" s="39" customFormat="1" ht="21.75" customHeight="1">
      <c r="A197" s="32">
        <v>38</v>
      </c>
      <c r="B197" s="136"/>
      <c r="C197" s="20" t="str">
        <f>IF(A197="","VARA",VLOOKUP(A197,'[1]varas'!$A$4:$B$67,2))</f>
        <v>1ª VT Olinda</v>
      </c>
      <c r="D197" s="15"/>
      <c r="E197" s="16"/>
      <c r="F197" s="15">
        <f>10+7+5</f>
        <v>22</v>
      </c>
      <c r="G197" s="15">
        <v>0</v>
      </c>
      <c r="H197" s="15">
        <v>2</v>
      </c>
      <c r="I197" s="17">
        <f>SUM(F197:H197)</f>
        <v>24</v>
      </c>
      <c r="J197" s="15">
        <v>6</v>
      </c>
      <c r="K197" s="15">
        <v>1</v>
      </c>
      <c r="L197" s="15">
        <v>4</v>
      </c>
      <c r="M197" s="15">
        <v>1</v>
      </c>
      <c r="N197" s="15">
        <v>0</v>
      </c>
      <c r="O197" s="15">
        <v>7</v>
      </c>
      <c r="P197" s="15">
        <f>SUM(J197:O197)</f>
        <v>19</v>
      </c>
      <c r="Q197" s="15">
        <v>0</v>
      </c>
      <c r="R197" s="15">
        <v>5</v>
      </c>
      <c r="S197" s="15">
        <v>0</v>
      </c>
      <c r="T197" s="15">
        <v>0</v>
      </c>
      <c r="U197" s="15">
        <v>71</v>
      </c>
      <c r="V197" s="18"/>
      <c r="W197" s="18"/>
      <c r="X197" s="30"/>
      <c r="Y197" s="30"/>
      <c r="Z197" s="30"/>
      <c r="AA197" s="30"/>
      <c r="AB197" s="34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</row>
    <row r="198" spans="1:41" s="39" customFormat="1" ht="23.25" customHeight="1">
      <c r="A198" s="32">
        <v>39</v>
      </c>
      <c r="B198" s="136"/>
      <c r="C198" s="20" t="str">
        <f>IF(A198="","VARA",VLOOKUP(A198,'[1]varas'!$A$4:$B$67,2))</f>
        <v>2ª VT Olinda</v>
      </c>
      <c r="D198" s="15"/>
      <c r="E198" s="16"/>
      <c r="F198" s="15">
        <f>30+39+3</f>
        <v>72</v>
      </c>
      <c r="G198" s="15">
        <v>1</v>
      </c>
      <c r="H198" s="15">
        <v>0</v>
      </c>
      <c r="I198" s="17">
        <f>SUM(F198:H198)</f>
        <v>73</v>
      </c>
      <c r="J198" s="15">
        <v>2</v>
      </c>
      <c r="K198" s="15">
        <v>15</v>
      </c>
      <c r="L198" s="15">
        <v>1</v>
      </c>
      <c r="M198" s="15">
        <v>3</v>
      </c>
      <c r="N198" s="15">
        <v>0</v>
      </c>
      <c r="O198" s="15">
        <v>38</v>
      </c>
      <c r="P198" s="15">
        <f>SUM(J198:O198)</f>
        <v>59</v>
      </c>
      <c r="Q198" s="15">
        <v>3</v>
      </c>
      <c r="R198" s="15">
        <v>11</v>
      </c>
      <c r="S198" s="15">
        <v>0</v>
      </c>
      <c r="T198" s="15">
        <v>0</v>
      </c>
      <c r="U198" s="15">
        <v>121</v>
      </c>
      <c r="V198" s="18"/>
      <c r="W198" s="18"/>
      <c r="X198" s="30"/>
      <c r="Y198" s="30"/>
      <c r="Z198" s="30"/>
      <c r="AA198" s="30"/>
      <c r="AB198" s="34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</row>
    <row r="199" spans="1:41" s="39" customFormat="1" ht="17.25" customHeight="1">
      <c r="A199" s="32">
        <v>40</v>
      </c>
      <c r="B199" s="136"/>
      <c r="C199" s="20" t="str">
        <f>IF(A199="","VARA",VLOOKUP(A199,'[1]varas'!$A$4:$B$67,2))</f>
        <v>3ª VT Olinda</v>
      </c>
      <c r="D199" s="15"/>
      <c r="E199" s="16"/>
      <c r="F199" s="15">
        <f>11</f>
        <v>11</v>
      </c>
      <c r="G199" s="15">
        <v>0</v>
      </c>
      <c r="H199" s="15">
        <v>1</v>
      </c>
      <c r="I199" s="17">
        <f>SUM(F199:H199)</f>
        <v>12</v>
      </c>
      <c r="J199" s="15">
        <v>3</v>
      </c>
      <c r="K199" s="15">
        <v>2</v>
      </c>
      <c r="L199" s="15">
        <v>0</v>
      </c>
      <c r="M199" s="15">
        <v>0</v>
      </c>
      <c r="N199" s="15">
        <v>0</v>
      </c>
      <c r="O199" s="15">
        <v>4</v>
      </c>
      <c r="P199" s="15">
        <f>SUM(J199:O199)</f>
        <v>9</v>
      </c>
      <c r="Q199" s="15">
        <v>2</v>
      </c>
      <c r="R199" s="15">
        <v>1</v>
      </c>
      <c r="S199" s="15">
        <v>0</v>
      </c>
      <c r="T199" s="15">
        <v>0</v>
      </c>
      <c r="U199" s="15">
        <v>20</v>
      </c>
      <c r="V199" s="18"/>
      <c r="W199" s="18"/>
      <c r="X199" s="30"/>
      <c r="Y199" s="30"/>
      <c r="Z199" s="30"/>
      <c r="AA199" s="30"/>
      <c r="AB199" s="34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</row>
    <row r="200" spans="1:41" s="53" customFormat="1" ht="22.5" customHeight="1">
      <c r="A200" s="47"/>
      <c r="B200" s="136"/>
      <c r="C200" s="20" t="s">
        <v>12</v>
      </c>
      <c r="D200" s="24"/>
      <c r="E200" s="48"/>
      <c r="F200" s="24">
        <f>SUM(F196:F199)</f>
        <v>105</v>
      </c>
      <c r="G200" s="24">
        <f>SUM(G196:G199)</f>
        <v>1</v>
      </c>
      <c r="H200" s="24">
        <f>SUM(H196:H199)</f>
        <v>3</v>
      </c>
      <c r="I200" s="40">
        <f>SUM(F200:H200)</f>
        <v>109</v>
      </c>
      <c r="J200" s="24">
        <f aca="true" t="shared" si="58" ref="J200:O200">SUM(J196:J199)</f>
        <v>11</v>
      </c>
      <c r="K200" s="24">
        <f t="shared" si="58"/>
        <v>18</v>
      </c>
      <c r="L200" s="24">
        <f t="shared" si="58"/>
        <v>5</v>
      </c>
      <c r="M200" s="24">
        <f t="shared" si="58"/>
        <v>4</v>
      </c>
      <c r="N200" s="24">
        <f t="shared" si="58"/>
        <v>0</v>
      </c>
      <c r="O200" s="24">
        <f t="shared" si="58"/>
        <v>49</v>
      </c>
      <c r="P200" s="24">
        <f>SUM(J200:O200)</f>
        <v>87</v>
      </c>
      <c r="Q200" s="24">
        <f>SUM(Q196:Q199)</f>
        <v>5</v>
      </c>
      <c r="R200" s="24">
        <f>SUM(R196:R199)</f>
        <v>17</v>
      </c>
      <c r="S200" s="24">
        <f>SUM(S196:S199)</f>
        <v>0</v>
      </c>
      <c r="T200" s="24">
        <f>SUM(T196:T199)</f>
        <v>0</v>
      </c>
      <c r="U200" s="24">
        <f>SUM(U196:U199)</f>
        <v>212</v>
      </c>
      <c r="V200" s="26">
        <f>IF(I200-Q200=0,"",IF(D200="",(P200+S200)/(I200-Q200),IF(AND(D200&lt;&gt;"",(P200+S200)/(I200-Q200)&gt;=50%),(P200+S200)/(I200-Q200),"")))</f>
        <v>0.8365384615384616</v>
      </c>
      <c r="W200" s="26">
        <f>IF(I200=O200,"",IF(V200="",0,(P200+Q200+S200-O200)/(I200-O200)))</f>
        <v>0.7166666666666667</v>
      </c>
      <c r="X200" s="49"/>
      <c r="Y200" s="49"/>
      <c r="Z200" s="49"/>
      <c r="AA200" s="49"/>
      <c r="AB200" s="50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</row>
    <row r="201" spans="1:41" s="39" customFormat="1" ht="24" customHeight="1">
      <c r="A201" s="32"/>
      <c r="B201" s="136" t="s">
        <v>76</v>
      </c>
      <c r="C201" s="14" t="s">
        <v>2</v>
      </c>
      <c r="D201" s="29" t="s">
        <v>30</v>
      </c>
      <c r="E201" s="16" t="s">
        <v>214</v>
      </c>
      <c r="F201" s="15"/>
      <c r="G201" s="15"/>
      <c r="H201" s="15"/>
      <c r="I201" s="17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8"/>
      <c r="W201" s="18"/>
      <c r="X201" s="30"/>
      <c r="Y201" s="30"/>
      <c r="Z201" s="30"/>
      <c r="AA201" s="30"/>
      <c r="AB201" s="34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</row>
    <row r="202" spans="1:41" s="39" customFormat="1" ht="21" customHeight="1">
      <c r="A202" s="32">
        <v>12</v>
      </c>
      <c r="B202" s="136"/>
      <c r="C202" s="20" t="str">
        <f>IF(A202="","VARA",VLOOKUP(A202,'[1]varas'!$A$4:$B$67,2))</f>
        <v>12ª VT Recife</v>
      </c>
      <c r="D202" s="15"/>
      <c r="E202" s="16"/>
      <c r="F202" s="15">
        <f>26+17+1</f>
        <v>44</v>
      </c>
      <c r="G202" s="15">
        <v>11</v>
      </c>
      <c r="H202" s="15">
        <v>13</v>
      </c>
      <c r="I202" s="17">
        <f>SUM(F202:H202)</f>
        <v>68</v>
      </c>
      <c r="J202" s="15">
        <v>8</v>
      </c>
      <c r="K202" s="15">
        <v>12</v>
      </c>
      <c r="L202" s="15">
        <v>1</v>
      </c>
      <c r="M202" s="15">
        <v>0</v>
      </c>
      <c r="N202" s="15">
        <v>0</v>
      </c>
      <c r="O202" s="15">
        <v>17</v>
      </c>
      <c r="P202" s="15">
        <f>SUM(J202:O202)</f>
        <v>38</v>
      </c>
      <c r="Q202" s="15">
        <v>7</v>
      </c>
      <c r="R202" s="15">
        <v>22</v>
      </c>
      <c r="S202" s="15">
        <v>0</v>
      </c>
      <c r="T202" s="15">
        <v>1</v>
      </c>
      <c r="U202" s="15">
        <v>61</v>
      </c>
      <c r="V202" s="18"/>
      <c r="W202" s="18"/>
      <c r="X202" s="30"/>
      <c r="Y202" s="30"/>
      <c r="Z202" s="30"/>
      <c r="AA202" s="30"/>
      <c r="AB202" s="34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</row>
    <row r="203" spans="1:41" s="39" customFormat="1" ht="22.5" customHeight="1">
      <c r="A203" s="32"/>
      <c r="B203" s="136"/>
      <c r="C203" s="21" t="s">
        <v>12</v>
      </c>
      <c r="D203" s="33"/>
      <c r="E203" s="23"/>
      <c r="F203" s="24">
        <f>SUM(F201:F202)</f>
        <v>44</v>
      </c>
      <c r="G203" s="24">
        <f>SUM(G201:G202)</f>
        <v>11</v>
      </c>
      <c r="H203" s="24">
        <f>SUM(H201:H202)</f>
        <v>13</v>
      </c>
      <c r="I203" s="40">
        <f>SUM(F203:H203)</f>
        <v>68</v>
      </c>
      <c r="J203" s="24">
        <f aca="true" t="shared" si="59" ref="J203:O203">SUM(J201:J202)</f>
        <v>8</v>
      </c>
      <c r="K203" s="24">
        <f t="shared" si="59"/>
        <v>12</v>
      </c>
      <c r="L203" s="24">
        <f t="shared" si="59"/>
        <v>1</v>
      </c>
      <c r="M203" s="24">
        <f t="shared" si="59"/>
        <v>0</v>
      </c>
      <c r="N203" s="24">
        <f t="shared" si="59"/>
        <v>0</v>
      </c>
      <c r="O203" s="24">
        <f t="shared" si="59"/>
        <v>17</v>
      </c>
      <c r="P203" s="24">
        <f>SUM(J203:O203)</f>
        <v>38</v>
      </c>
      <c r="Q203" s="24">
        <f>SUM(Q201:Q202)</f>
        <v>7</v>
      </c>
      <c r="R203" s="24">
        <f>SUM(R201:R202)</f>
        <v>22</v>
      </c>
      <c r="S203" s="24">
        <f>SUM(S201:S202)</f>
        <v>0</v>
      </c>
      <c r="T203" s="24">
        <f>SUM(T201:T202)</f>
        <v>1</v>
      </c>
      <c r="U203" s="24">
        <f>SUM(U201:U202)</f>
        <v>61</v>
      </c>
      <c r="V203" s="26">
        <f>IF(I203-Q203=0,"",IF(D203="",(P203+S203)/(I203-Q203),IF(AND(D203&lt;&gt;"",(P203+S203)/(I203-Q203)&gt;=50%),(P203+S203)/(I203-Q203),"")))</f>
        <v>0.6229508196721312</v>
      </c>
      <c r="W203" s="26">
        <f>IF(I203=O203,"",IF(V203="",0,(P203+Q203+S203-O203)/(I203-O203)))</f>
        <v>0.5490196078431373</v>
      </c>
      <c r="X203" s="30"/>
      <c r="Y203" s="30"/>
      <c r="Z203" s="30"/>
      <c r="AA203" s="30"/>
      <c r="AB203" s="34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</row>
    <row r="204" spans="1:41" s="39" customFormat="1" ht="27" customHeight="1">
      <c r="A204" s="32"/>
      <c r="B204" s="136" t="s">
        <v>77</v>
      </c>
      <c r="C204" s="14" t="s">
        <v>158</v>
      </c>
      <c r="D204" s="29" t="s">
        <v>199</v>
      </c>
      <c r="E204" s="16" t="s">
        <v>225</v>
      </c>
      <c r="F204" s="15"/>
      <c r="G204" s="15"/>
      <c r="H204" s="15"/>
      <c r="I204" s="17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8"/>
      <c r="W204" s="18"/>
      <c r="X204" s="30"/>
      <c r="Y204" s="30"/>
      <c r="Z204" s="30"/>
      <c r="AA204" s="30"/>
      <c r="AB204" s="34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</row>
    <row r="205" spans="1:41" s="39" customFormat="1" ht="22.5" customHeight="1">
      <c r="A205" s="32">
        <v>5</v>
      </c>
      <c r="B205" s="136"/>
      <c r="C205" s="20" t="str">
        <f>IF(A205="","VARA",VLOOKUP(A205,'[1]varas'!$A$4:$B$67,2))</f>
        <v>5ª VT Recife</v>
      </c>
      <c r="D205" s="15"/>
      <c r="E205" s="16"/>
      <c r="F205" s="15">
        <v>6</v>
      </c>
      <c r="G205" s="15">
        <v>0</v>
      </c>
      <c r="H205" s="15">
        <v>0</v>
      </c>
      <c r="I205" s="17">
        <f aca="true" t="shared" si="60" ref="I205:I211">SUM(F205:H205)</f>
        <v>6</v>
      </c>
      <c r="J205" s="15">
        <v>0</v>
      </c>
      <c r="K205" s="15">
        <v>1</v>
      </c>
      <c r="L205" s="15">
        <v>0</v>
      </c>
      <c r="M205" s="15">
        <v>0</v>
      </c>
      <c r="N205" s="15">
        <v>0</v>
      </c>
      <c r="O205" s="15">
        <v>2</v>
      </c>
      <c r="P205" s="15">
        <f aca="true" t="shared" si="61" ref="P205:P211">SUM(J205:O205)</f>
        <v>3</v>
      </c>
      <c r="Q205" s="15">
        <v>3</v>
      </c>
      <c r="R205" s="15">
        <v>0</v>
      </c>
      <c r="S205" s="15">
        <v>0</v>
      </c>
      <c r="T205" s="15">
        <v>0</v>
      </c>
      <c r="U205" s="15">
        <v>12</v>
      </c>
      <c r="V205" s="18"/>
      <c r="W205" s="18"/>
      <c r="X205" s="30"/>
      <c r="Y205" s="30"/>
      <c r="Z205" s="30"/>
      <c r="AA205" s="30"/>
      <c r="AB205" s="34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</row>
    <row r="206" spans="1:41" s="39" customFormat="1" ht="22.5" customHeight="1">
      <c r="A206" s="32">
        <v>6</v>
      </c>
      <c r="B206" s="136"/>
      <c r="C206" s="20" t="str">
        <f>IF(A206="","VARA",VLOOKUP(A206,'[1]varas'!$A$4:$B$67,2))</f>
        <v>6ª VT Recife</v>
      </c>
      <c r="D206" s="15"/>
      <c r="E206" s="16"/>
      <c r="F206" s="15">
        <f>5+3+8</f>
        <v>16</v>
      </c>
      <c r="G206" s="15">
        <v>0</v>
      </c>
      <c r="H206" s="15">
        <v>0</v>
      </c>
      <c r="I206" s="17">
        <f t="shared" si="60"/>
        <v>16</v>
      </c>
      <c r="J206" s="15">
        <v>0</v>
      </c>
      <c r="K206" s="15">
        <v>1</v>
      </c>
      <c r="L206" s="15">
        <v>1</v>
      </c>
      <c r="M206" s="15">
        <v>8</v>
      </c>
      <c r="N206" s="15">
        <v>0</v>
      </c>
      <c r="O206" s="15">
        <v>2</v>
      </c>
      <c r="P206" s="15">
        <f t="shared" si="61"/>
        <v>12</v>
      </c>
      <c r="Q206" s="15">
        <v>0</v>
      </c>
      <c r="R206" s="15">
        <v>4</v>
      </c>
      <c r="S206" s="15">
        <v>0</v>
      </c>
      <c r="T206" s="15">
        <v>0</v>
      </c>
      <c r="U206" s="15">
        <v>19</v>
      </c>
      <c r="V206" s="18"/>
      <c r="W206" s="18"/>
      <c r="X206" s="30"/>
      <c r="Y206" s="30"/>
      <c r="Z206" s="30"/>
      <c r="AA206" s="30"/>
      <c r="AB206" s="34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</row>
    <row r="207" spans="1:41" s="39" customFormat="1" ht="21" customHeight="1">
      <c r="A207" s="32">
        <v>36</v>
      </c>
      <c r="B207" s="136"/>
      <c r="C207" s="20" t="str">
        <f>IF(A207="","VARA",VLOOKUP(A207,'[1]varas'!$A$4:$B$67,2))</f>
        <v>3ª VT Jaboatão</v>
      </c>
      <c r="D207" s="15"/>
      <c r="E207" s="16"/>
      <c r="F207" s="15">
        <v>6</v>
      </c>
      <c r="G207" s="15">
        <v>0</v>
      </c>
      <c r="H207" s="15">
        <v>0</v>
      </c>
      <c r="I207" s="17">
        <f t="shared" si="60"/>
        <v>6</v>
      </c>
      <c r="J207" s="15">
        <v>3</v>
      </c>
      <c r="K207" s="15">
        <v>0</v>
      </c>
      <c r="L207" s="15">
        <v>0</v>
      </c>
      <c r="M207" s="15">
        <v>0</v>
      </c>
      <c r="N207" s="15">
        <v>0</v>
      </c>
      <c r="O207" s="15">
        <v>3</v>
      </c>
      <c r="P207" s="15">
        <f t="shared" si="61"/>
        <v>6</v>
      </c>
      <c r="Q207" s="15">
        <v>0</v>
      </c>
      <c r="R207" s="15">
        <v>0</v>
      </c>
      <c r="S207" s="15">
        <v>0</v>
      </c>
      <c r="T207" s="15">
        <v>0</v>
      </c>
      <c r="U207" s="15">
        <v>7</v>
      </c>
      <c r="V207" s="18"/>
      <c r="W207" s="18"/>
      <c r="X207" s="30"/>
      <c r="Y207" s="30"/>
      <c r="Z207" s="30"/>
      <c r="AA207" s="30"/>
      <c r="AB207" s="34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</row>
    <row r="208" spans="1:41" s="39" customFormat="1" ht="21" customHeight="1">
      <c r="A208" s="32">
        <v>60</v>
      </c>
      <c r="B208" s="136"/>
      <c r="C208" s="20" t="str">
        <f>IF(A208="","VARA",VLOOKUP(A208,'[1]varas'!$A$4:$B$67,2))</f>
        <v>VT Timbaúba</v>
      </c>
      <c r="D208" s="15"/>
      <c r="E208" s="16"/>
      <c r="F208" s="15">
        <v>0</v>
      </c>
      <c r="G208" s="15">
        <v>0</v>
      </c>
      <c r="H208" s="15">
        <v>6</v>
      </c>
      <c r="I208" s="17">
        <f t="shared" si="60"/>
        <v>6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5">
        <f t="shared" si="61"/>
        <v>0</v>
      </c>
      <c r="Q208" s="15">
        <v>0</v>
      </c>
      <c r="R208" s="15">
        <v>6</v>
      </c>
      <c r="S208" s="15">
        <v>0</v>
      </c>
      <c r="T208" s="15">
        <v>0</v>
      </c>
      <c r="U208" s="15">
        <v>0</v>
      </c>
      <c r="V208" s="18"/>
      <c r="W208" s="18"/>
      <c r="X208" s="30"/>
      <c r="Y208" s="30"/>
      <c r="Z208" s="30"/>
      <c r="AA208" s="30"/>
      <c r="AB208" s="34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</row>
    <row r="209" spans="1:41" s="39" customFormat="1" ht="21" customHeight="1">
      <c r="A209" s="32">
        <v>57</v>
      </c>
      <c r="B209" s="136"/>
      <c r="C209" s="20" t="str">
        <f>IF(A209="","VARA",VLOOKUP(A209,'[1]varas'!$A$4:$B$67,2))</f>
        <v>VT S. Lourenço </v>
      </c>
      <c r="D209" s="15"/>
      <c r="E209" s="16"/>
      <c r="F209" s="15">
        <v>0</v>
      </c>
      <c r="G209" s="15">
        <v>0</v>
      </c>
      <c r="H209" s="15">
        <v>1</v>
      </c>
      <c r="I209" s="17">
        <f t="shared" si="60"/>
        <v>1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f t="shared" si="61"/>
        <v>0</v>
      </c>
      <c r="Q209" s="15">
        <v>0</v>
      </c>
      <c r="R209" s="15">
        <v>1</v>
      </c>
      <c r="S209" s="15">
        <v>0</v>
      </c>
      <c r="T209" s="15">
        <v>0</v>
      </c>
      <c r="U209" s="15">
        <v>0</v>
      </c>
      <c r="V209" s="18"/>
      <c r="W209" s="18"/>
      <c r="X209" s="30"/>
      <c r="Y209" s="30"/>
      <c r="Z209" s="30"/>
      <c r="AA209" s="30"/>
      <c r="AB209" s="34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</row>
    <row r="210" spans="1:41" s="39" customFormat="1" ht="21" customHeight="1">
      <c r="A210" s="32">
        <v>51</v>
      </c>
      <c r="B210" s="136"/>
      <c r="C210" s="20" t="str">
        <f>IF(A210="","VARA",VLOOKUP(A210,'[1]varas'!$A$4:$B$67,2))</f>
        <v>VT Goiana</v>
      </c>
      <c r="D210" s="15"/>
      <c r="E210" s="16"/>
      <c r="F210" s="15">
        <f>91+91+9+14</f>
        <v>205</v>
      </c>
      <c r="G210" s="15">
        <v>11</v>
      </c>
      <c r="H210" s="15">
        <v>29</v>
      </c>
      <c r="I210" s="17">
        <f t="shared" si="60"/>
        <v>245</v>
      </c>
      <c r="J210" s="15">
        <v>46</v>
      </c>
      <c r="K210" s="15">
        <v>25</v>
      </c>
      <c r="L210" s="15">
        <v>19</v>
      </c>
      <c r="M210" s="15">
        <v>8</v>
      </c>
      <c r="N210" s="15">
        <v>0</v>
      </c>
      <c r="O210" s="15">
        <v>91</v>
      </c>
      <c r="P210" s="15">
        <f t="shared" si="61"/>
        <v>189</v>
      </c>
      <c r="Q210" s="15">
        <v>20</v>
      </c>
      <c r="R210" s="15">
        <v>36</v>
      </c>
      <c r="S210" s="15">
        <v>0</v>
      </c>
      <c r="T210" s="15">
        <v>0</v>
      </c>
      <c r="U210" s="15">
        <v>225</v>
      </c>
      <c r="V210" s="18"/>
      <c r="W210" s="18"/>
      <c r="X210" s="30"/>
      <c r="Y210" s="30"/>
      <c r="Z210" s="30"/>
      <c r="AA210" s="30"/>
      <c r="AB210" s="34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</row>
    <row r="211" spans="1:41" s="53" customFormat="1" ht="21.75" customHeight="1">
      <c r="A211" s="47"/>
      <c r="B211" s="130"/>
      <c r="C211" s="20" t="s">
        <v>12</v>
      </c>
      <c r="D211" s="24"/>
      <c r="E211" s="48"/>
      <c r="F211" s="24">
        <f>SUM(F204:F210)</f>
        <v>233</v>
      </c>
      <c r="G211" s="24">
        <f>SUM(G204:G210)</f>
        <v>11</v>
      </c>
      <c r="H211" s="24">
        <f>SUM(H204:H210)</f>
        <v>36</v>
      </c>
      <c r="I211" s="40">
        <f t="shared" si="60"/>
        <v>280</v>
      </c>
      <c r="J211" s="24">
        <f aca="true" t="shared" si="62" ref="J211:O211">SUM(J204:J210)</f>
        <v>49</v>
      </c>
      <c r="K211" s="24">
        <f t="shared" si="62"/>
        <v>27</v>
      </c>
      <c r="L211" s="24">
        <f t="shared" si="62"/>
        <v>20</v>
      </c>
      <c r="M211" s="24">
        <f t="shared" si="62"/>
        <v>16</v>
      </c>
      <c r="N211" s="24">
        <f t="shared" si="62"/>
        <v>0</v>
      </c>
      <c r="O211" s="24">
        <f t="shared" si="62"/>
        <v>98</v>
      </c>
      <c r="P211" s="24">
        <f t="shared" si="61"/>
        <v>210</v>
      </c>
      <c r="Q211" s="24">
        <f>SUM(Q204:Q210)</f>
        <v>23</v>
      </c>
      <c r="R211" s="24">
        <f>SUM(R204:R210)</f>
        <v>47</v>
      </c>
      <c r="S211" s="24">
        <f>SUM(S204:S210)</f>
        <v>0</v>
      </c>
      <c r="T211" s="24">
        <f>SUM(T204:T210)</f>
        <v>0</v>
      </c>
      <c r="U211" s="24">
        <f>SUM(U204:U210)</f>
        <v>263</v>
      </c>
      <c r="V211" s="26">
        <f>IF(I211-Q211=0,"",IF(D211="",(P211+S211)/(I211-Q211),IF(AND(D211&lt;&gt;"",(P211+S211)/(I211-Q211)&gt;=50%),(P211+S211)/(I211-Q211),"")))</f>
        <v>0.8171206225680934</v>
      </c>
      <c r="W211" s="26">
        <f>IF(I211=O211,"",IF(V211="",0,(P211+Q211+S211-O211)/(I211-O211)))</f>
        <v>0.7417582417582418</v>
      </c>
      <c r="X211" s="49"/>
      <c r="Y211" s="49"/>
      <c r="Z211" s="49"/>
      <c r="AA211" s="49"/>
      <c r="AB211" s="50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</row>
    <row r="212" spans="1:41" s="39" customFormat="1" ht="26.25" customHeight="1">
      <c r="A212" s="32"/>
      <c r="B212" s="137" t="s">
        <v>78</v>
      </c>
      <c r="C212" s="105" t="s">
        <v>2</v>
      </c>
      <c r="D212" s="29" t="s">
        <v>226</v>
      </c>
      <c r="E212" s="16" t="s">
        <v>227</v>
      </c>
      <c r="F212" s="15"/>
      <c r="G212" s="15"/>
      <c r="H212" s="15"/>
      <c r="I212" s="17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8"/>
      <c r="W212" s="18"/>
      <c r="X212" s="30"/>
      <c r="Y212" s="30"/>
      <c r="Z212" s="30"/>
      <c r="AA212" s="30"/>
      <c r="AB212" s="34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</row>
    <row r="213" spans="1:41" s="39" customFormat="1" ht="21.75" customHeight="1">
      <c r="A213" s="32">
        <v>66</v>
      </c>
      <c r="B213" s="138"/>
      <c r="C213" s="106" t="s">
        <v>163</v>
      </c>
      <c r="D213" s="15"/>
      <c r="E213" s="16"/>
      <c r="F213" s="15">
        <f>46+36+3</f>
        <v>85</v>
      </c>
      <c r="G213" s="15">
        <v>0</v>
      </c>
      <c r="H213" s="15">
        <v>0</v>
      </c>
      <c r="I213" s="17">
        <f>SUM(F213:H213)</f>
        <v>85</v>
      </c>
      <c r="J213" s="15">
        <v>24</v>
      </c>
      <c r="K213" s="15">
        <v>20</v>
      </c>
      <c r="L213" s="15">
        <v>3</v>
      </c>
      <c r="M213" s="15">
        <v>0</v>
      </c>
      <c r="N213" s="15">
        <v>0</v>
      </c>
      <c r="O213" s="15">
        <v>36</v>
      </c>
      <c r="P213" s="15">
        <f>SUM(J213:O213)</f>
        <v>83</v>
      </c>
      <c r="Q213" s="15">
        <v>0</v>
      </c>
      <c r="R213" s="15">
        <v>2</v>
      </c>
      <c r="S213" s="15">
        <v>0</v>
      </c>
      <c r="T213" s="15">
        <v>0</v>
      </c>
      <c r="U213" s="15">
        <v>43</v>
      </c>
      <c r="V213" s="18"/>
      <c r="W213" s="18"/>
      <c r="X213" s="30"/>
      <c r="Y213" s="30"/>
      <c r="Z213" s="30"/>
      <c r="AA213" s="30"/>
      <c r="AB213" s="34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</row>
    <row r="214" spans="1:41" s="53" customFormat="1" ht="18" customHeight="1">
      <c r="A214" s="47"/>
      <c r="B214" s="133"/>
      <c r="C214" s="107" t="s">
        <v>12</v>
      </c>
      <c r="D214" s="51"/>
      <c r="E214" s="52"/>
      <c r="F214" s="24">
        <f>SUM(F212:F213)</f>
        <v>85</v>
      </c>
      <c r="G214" s="24">
        <f>SUM(G212:G213)</f>
        <v>0</v>
      </c>
      <c r="H214" s="24">
        <f>SUM(H212:H213)</f>
        <v>0</v>
      </c>
      <c r="I214" s="25">
        <f>SUM(F214:H214)</f>
        <v>85</v>
      </c>
      <c r="J214" s="24">
        <f aca="true" t="shared" si="63" ref="J214:O214">SUM(J212:J213)</f>
        <v>24</v>
      </c>
      <c r="K214" s="24">
        <f t="shared" si="63"/>
        <v>20</v>
      </c>
      <c r="L214" s="24">
        <f t="shared" si="63"/>
        <v>3</v>
      </c>
      <c r="M214" s="24">
        <f t="shared" si="63"/>
        <v>0</v>
      </c>
      <c r="N214" s="24">
        <f t="shared" si="63"/>
        <v>0</v>
      </c>
      <c r="O214" s="24">
        <f t="shared" si="63"/>
        <v>36</v>
      </c>
      <c r="P214" s="24">
        <f>SUM(J214:O214)</f>
        <v>83</v>
      </c>
      <c r="Q214" s="24">
        <f>SUM(Q212:Q213)</f>
        <v>0</v>
      </c>
      <c r="R214" s="24">
        <f>SUM(R212:R213)</f>
        <v>2</v>
      </c>
      <c r="S214" s="24">
        <f>SUM(S212:S213)</f>
        <v>0</v>
      </c>
      <c r="T214" s="24">
        <f>SUM(T212:T213)</f>
        <v>0</v>
      </c>
      <c r="U214" s="24">
        <f>SUM(U212:U213)</f>
        <v>43</v>
      </c>
      <c r="V214" s="26">
        <f>IF(I214-Q214=0,"",IF(D214="",(P214+S214)/(I214-Q214),IF(AND(D214&lt;&gt;"",(P214+S214)/(I214-Q214)&gt;=50%),(P214+S214)/(I214-Q214),"")))</f>
        <v>0.9764705882352941</v>
      </c>
      <c r="W214" s="26">
        <f>IF(I214=O214,"",IF(V214="",0,(P214+Q214+S214-O214)/(I214-O214)))</f>
        <v>0.9591836734693877</v>
      </c>
      <c r="X214" s="49"/>
      <c r="Y214" s="49"/>
      <c r="Z214" s="49"/>
      <c r="AA214" s="49"/>
      <c r="AB214" s="50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</row>
    <row r="215" spans="1:41" s="39" customFormat="1" ht="24" customHeight="1">
      <c r="A215" s="32"/>
      <c r="B215" s="137" t="s">
        <v>79</v>
      </c>
      <c r="C215" s="105" t="s">
        <v>2</v>
      </c>
      <c r="D215" s="29"/>
      <c r="E215" s="16" t="s">
        <v>27</v>
      </c>
      <c r="F215" s="15"/>
      <c r="G215" s="15"/>
      <c r="H215" s="15"/>
      <c r="I215" s="17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8"/>
      <c r="W215" s="18"/>
      <c r="X215" s="30"/>
      <c r="Y215" s="30"/>
      <c r="Z215" s="30"/>
      <c r="AA215" s="30"/>
      <c r="AB215" s="34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</row>
    <row r="216" spans="1:41" s="39" customFormat="1" ht="20.25" customHeight="1">
      <c r="A216" s="32">
        <v>29</v>
      </c>
      <c r="B216" s="138"/>
      <c r="C216" s="106" t="str">
        <f>IF(A216="","VARA",VLOOKUP(A216,'[1]varas'!$A$4:$B$67,2))</f>
        <v>2ª VT Caruaru</v>
      </c>
      <c r="D216" s="15"/>
      <c r="E216" s="16"/>
      <c r="F216" s="15">
        <f>73+44+25</f>
        <v>142</v>
      </c>
      <c r="G216" s="15">
        <v>3</v>
      </c>
      <c r="H216" s="15">
        <v>4</v>
      </c>
      <c r="I216" s="17">
        <f>SUM(F216:H216)</f>
        <v>149</v>
      </c>
      <c r="J216" s="15">
        <v>36</v>
      </c>
      <c r="K216" s="15">
        <v>27</v>
      </c>
      <c r="L216" s="15">
        <v>20</v>
      </c>
      <c r="M216" s="15">
        <v>1</v>
      </c>
      <c r="N216" s="15">
        <v>0</v>
      </c>
      <c r="O216" s="15">
        <v>44</v>
      </c>
      <c r="P216" s="15">
        <f>SUM(J216:O216)</f>
        <v>128</v>
      </c>
      <c r="Q216" s="15">
        <v>20</v>
      </c>
      <c r="R216" s="15">
        <v>1</v>
      </c>
      <c r="S216" s="15">
        <v>0</v>
      </c>
      <c r="T216" s="15">
        <v>0</v>
      </c>
      <c r="U216" s="15">
        <v>227</v>
      </c>
      <c r="V216" s="18"/>
      <c r="W216" s="18"/>
      <c r="X216" s="30"/>
      <c r="Y216" s="30"/>
      <c r="Z216" s="30"/>
      <c r="AA216" s="30"/>
      <c r="AB216" s="34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</row>
    <row r="217" spans="1:41" s="53" customFormat="1" ht="20.25" customHeight="1">
      <c r="A217" s="47"/>
      <c r="B217" s="133"/>
      <c r="C217" s="107" t="s">
        <v>12</v>
      </c>
      <c r="D217" s="51"/>
      <c r="E217" s="52"/>
      <c r="F217" s="24">
        <f>SUM(F215:F216)</f>
        <v>142</v>
      </c>
      <c r="G217" s="24">
        <f>SUM(G215:G216)</f>
        <v>3</v>
      </c>
      <c r="H217" s="24">
        <f>SUM(H215:H216)</f>
        <v>4</v>
      </c>
      <c r="I217" s="25">
        <f>SUM(F217:H217)</f>
        <v>149</v>
      </c>
      <c r="J217" s="24">
        <f aca="true" t="shared" si="64" ref="J217:O217">SUM(J215:J216)</f>
        <v>36</v>
      </c>
      <c r="K217" s="24">
        <f t="shared" si="64"/>
        <v>27</v>
      </c>
      <c r="L217" s="24">
        <f t="shared" si="64"/>
        <v>20</v>
      </c>
      <c r="M217" s="24">
        <f t="shared" si="64"/>
        <v>1</v>
      </c>
      <c r="N217" s="24">
        <f t="shared" si="64"/>
        <v>0</v>
      </c>
      <c r="O217" s="24">
        <f t="shared" si="64"/>
        <v>44</v>
      </c>
      <c r="P217" s="24">
        <f>SUM(J217:O217)</f>
        <v>128</v>
      </c>
      <c r="Q217" s="24">
        <f>SUM(Q215:Q216)</f>
        <v>20</v>
      </c>
      <c r="R217" s="24">
        <f>SUM(R215:R216)</f>
        <v>1</v>
      </c>
      <c r="S217" s="24">
        <f>SUM(S215:S216)</f>
        <v>0</v>
      </c>
      <c r="T217" s="24">
        <f>SUM(T215:T216)</f>
        <v>0</v>
      </c>
      <c r="U217" s="24">
        <f>SUM(U215:U216)</f>
        <v>227</v>
      </c>
      <c r="V217" s="26">
        <f>IF(I217-Q217=0,"",IF(D217="",(P217+S217)/(I217-Q217),IF(AND(D217&lt;&gt;"",(P217+S217)/(I217-Q217)&gt;=50%),(P217+S217)/(I217-Q217),"")))</f>
        <v>0.9922480620155039</v>
      </c>
      <c r="W217" s="26">
        <f>IF(I217=O217,"",IF(V217="",0,(P217+Q217+S217-O217)/(I217-O217)))</f>
        <v>0.9904761904761905</v>
      </c>
      <c r="X217" s="49"/>
      <c r="Y217" s="49"/>
      <c r="Z217" s="49"/>
      <c r="AA217" s="49"/>
      <c r="AB217" s="50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</row>
    <row r="218" spans="1:41" s="39" customFormat="1" ht="21" customHeight="1">
      <c r="A218" s="32"/>
      <c r="B218" s="129" t="s">
        <v>80</v>
      </c>
      <c r="C218" s="14" t="s">
        <v>2</v>
      </c>
      <c r="D218" s="29"/>
      <c r="E218" s="16" t="s">
        <v>27</v>
      </c>
      <c r="F218" s="15"/>
      <c r="G218" s="15"/>
      <c r="H218" s="15"/>
      <c r="I218" s="17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8"/>
      <c r="W218" s="18"/>
      <c r="X218" s="30"/>
      <c r="Y218" s="30"/>
      <c r="Z218" s="30"/>
      <c r="AA218" s="30"/>
      <c r="AB218" s="34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</row>
    <row r="219" spans="1:41" s="39" customFormat="1" ht="18.75" customHeight="1">
      <c r="A219" s="32">
        <v>32</v>
      </c>
      <c r="B219" s="136"/>
      <c r="C219" s="20" t="str">
        <f>IF(A219="","VARA",VLOOKUP(A219,'[1]varas'!$A$4:$B$67,2))</f>
        <v>1ª VT Ipojuca</v>
      </c>
      <c r="D219" s="15"/>
      <c r="E219" s="16"/>
      <c r="F219" s="15">
        <f>15+26+4+2</f>
        <v>47</v>
      </c>
      <c r="G219" s="15">
        <v>27</v>
      </c>
      <c r="H219" s="15">
        <v>35</v>
      </c>
      <c r="I219" s="17">
        <f>SUM(F219:H219)</f>
        <v>109</v>
      </c>
      <c r="J219" s="15">
        <v>24</v>
      </c>
      <c r="K219" s="15">
        <v>19</v>
      </c>
      <c r="L219" s="15">
        <v>4</v>
      </c>
      <c r="M219" s="15">
        <v>2</v>
      </c>
      <c r="N219" s="15">
        <v>0</v>
      </c>
      <c r="O219" s="15">
        <v>26</v>
      </c>
      <c r="P219" s="15">
        <f>SUM(J219:O219)</f>
        <v>75</v>
      </c>
      <c r="Q219" s="15">
        <v>21</v>
      </c>
      <c r="R219" s="15">
        <v>13</v>
      </c>
      <c r="S219" s="15">
        <v>0</v>
      </c>
      <c r="T219" s="15">
        <v>0</v>
      </c>
      <c r="U219" s="15">
        <v>141</v>
      </c>
      <c r="V219" s="18"/>
      <c r="W219" s="18"/>
      <c r="X219" s="30"/>
      <c r="Y219" s="30"/>
      <c r="Z219" s="30"/>
      <c r="AA219" s="30"/>
      <c r="AB219" s="34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</row>
    <row r="220" spans="1:41" s="39" customFormat="1" ht="22.5" customHeight="1">
      <c r="A220" s="32"/>
      <c r="B220" s="136"/>
      <c r="C220" s="21" t="s">
        <v>12</v>
      </c>
      <c r="D220" s="33"/>
      <c r="E220" s="23"/>
      <c r="F220" s="24">
        <f>SUM(F218:F219)</f>
        <v>47</v>
      </c>
      <c r="G220" s="24">
        <f>SUM(G218:G219)</f>
        <v>27</v>
      </c>
      <c r="H220" s="24">
        <f>SUM(H218:H219)</f>
        <v>35</v>
      </c>
      <c r="I220" s="40">
        <f>SUM(F220:H220)</f>
        <v>109</v>
      </c>
      <c r="J220" s="24">
        <f aca="true" t="shared" si="65" ref="J220:O220">SUM(J218:J219)</f>
        <v>24</v>
      </c>
      <c r="K220" s="24">
        <f t="shared" si="65"/>
        <v>19</v>
      </c>
      <c r="L220" s="24">
        <f t="shared" si="65"/>
        <v>4</v>
      </c>
      <c r="M220" s="24">
        <f t="shared" si="65"/>
        <v>2</v>
      </c>
      <c r="N220" s="24">
        <f t="shared" si="65"/>
        <v>0</v>
      </c>
      <c r="O220" s="24">
        <f t="shared" si="65"/>
        <v>26</v>
      </c>
      <c r="P220" s="24">
        <f>SUM(J220:O220)</f>
        <v>75</v>
      </c>
      <c r="Q220" s="24">
        <f>SUM(Q218:Q219)</f>
        <v>21</v>
      </c>
      <c r="R220" s="24">
        <f>SUM(R218:R219)</f>
        <v>13</v>
      </c>
      <c r="S220" s="24">
        <f>SUM(S218:S219)</f>
        <v>0</v>
      </c>
      <c r="T220" s="24">
        <f>SUM(T218:T219)</f>
        <v>0</v>
      </c>
      <c r="U220" s="24">
        <f>SUM(U218:U219)</f>
        <v>141</v>
      </c>
      <c r="V220" s="26">
        <f>IF(I220-Q220=0,"",IF(D220="",(P220+S220)/(I220-Q220),IF(AND(D220&lt;&gt;"",(P220+S220)/(I220-Q220)&gt;=50%),(P220+S220)/(I220-Q220),"")))</f>
        <v>0.8522727272727273</v>
      </c>
      <c r="W220" s="26">
        <f>IF(I220=O220,"",IF(V220="",0,(P220+Q220+S220-O220)/(I220-O220)))</f>
        <v>0.8433734939759037</v>
      </c>
      <c r="X220" s="30"/>
      <c r="Y220" s="30"/>
      <c r="Z220" s="30"/>
      <c r="AA220" s="30"/>
      <c r="AB220" s="34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</row>
    <row r="221" spans="1:41" s="39" customFormat="1" ht="20.25" customHeight="1">
      <c r="A221" s="32"/>
      <c r="B221" s="136" t="s">
        <v>81</v>
      </c>
      <c r="C221" s="14" t="s">
        <v>2</v>
      </c>
      <c r="D221" s="29"/>
      <c r="E221" s="16" t="s">
        <v>27</v>
      </c>
      <c r="F221" s="15"/>
      <c r="G221" s="15"/>
      <c r="H221" s="15"/>
      <c r="I221" s="17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8"/>
      <c r="W221" s="18"/>
      <c r="X221" s="30"/>
      <c r="Y221" s="30"/>
      <c r="Z221" s="30"/>
      <c r="AA221" s="30"/>
      <c r="AB221" s="34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</row>
    <row r="222" spans="1:41" s="39" customFormat="1" ht="23.25" customHeight="1">
      <c r="A222" s="32">
        <v>69</v>
      </c>
      <c r="B222" s="136"/>
      <c r="C222" s="20" t="s">
        <v>177</v>
      </c>
      <c r="D222" s="15"/>
      <c r="E222" s="16"/>
      <c r="F222" s="15">
        <f>18+44+4</f>
        <v>66</v>
      </c>
      <c r="G222" s="15">
        <v>6</v>
      </c>
      <c r="H222" s="15">
        <v>0</v>
      </c>
      <c r="I222" s="17">
        <f>SUM(F222:H222)</f>
        <v>72</v>
      </c>
      <c r="J222" s="15">
        <v>18</v>
      </c>
      <c r="K222" s="15">
        <v>3</v>
      </c>
      <c r="L222" s="15">
        <v>4</v>
      </c>
      <c r="M222" s="15">
        <v>0</v>
      </c>
      <c r="N222" s="15">
        <v>0</v>
      </c>
      <c r="O222" s="15">
        <v>44</v>
      </c>
      <c r="P222" s="15">
        <f>SUM(J222:O222)</f>
        <v>69</v>
      </c>
      <c r="Q222" s="15">
        <v>3</v>
      </c>
      <c r="R222" s="15">
        <v>0</v>
      </c>
      <c r="S222" s="15">
        <v>0</v>
      </c>
      <c r="T222" s="15">
        <v>0</v>
      </c>
      <c r="U222" s="15">
        <v>150</v>
      </c>
      <c r="V222" s="18"/>
      <c r="W222" s="18"/>
      <c r="X222" s="30"/>
      <c r="Y222" s="30"/>
      <c r="Z222" s="30"/>
      <c r="AA222" s="30"/>
      <c r="AB222" s="34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</row>
    <row r="223" spans="1:41" s="39" customFormat="1" ht="21" customHeight="1">
      <c r="A223" s="32"/>
      <c r="B223" s="130"/>
      <c r="C223" s="21" t="s">
        <v>12</v>
      </c>
      <c r="D223" s="33"/>
      <c r="E223" s="23"/>
      <c r="F223" s="24">
        <f>SUM(F221:F222)</f>
        <v>66</v>
      </c>
      <c r="G223" s="24">
        <f>SUM(G221:G222)</f>
        <v>6</v>
      </c>
      <c r="H223" s="24">
        <f>SUM(H221:H222)</f>
        <v>0</v>
      </c>
      <c r="I223" s="40">
        <f>SUM(F223:H223)</f>
        <v>72</v>
      </c>
      <c r="J223" s="24">
        <f aca="true" t="shared" si="66" ref="J223:O223">SUM(J221:J222)</f>
        <v>18</v>
      </c>
      <c r="K223" s="24">
        <f t="shared" si="66"/>
        <v>3</v>
      </c>
      <c r="L223" s="24">
        <f t="shared" si="66"/>
        <v>4</v>
      </c>
      <c r="M223" s="24">
        <f t="shared" si="66"/>
        <v>0</v>
      </c>
      <c r="N223" s="24">
        <f t="shared" si="66"/>
        <v>0</v>
      </c>
      <c r="O223" s="24">
        <f t="shared" si="66"/>
        <v>44</v>
      </c>
      <c r="P223" s="24">
        <f>SUM(J223:O223)</f>
        <v>69</v>
      </c>
      <c r="Q223" s="24">
        <f>SUM(Q221:Q222)</f>
        <v>3</v>
      </c>
      <c r="R223" s="24">
        <f>SUM(R221:R222)</f>
        <v>0</v>
      </c>
      <c r="S223" s="24">
        <f>SUM(S221:S222)</f>
        <v>0</v>
      </c>
      <c r="T223" s="24">
        <f>SUM(T221:T222)</f>
        <v>0</v>
      </c>
      <c r="U223" s="24">
        <f>SUM(U221:U222)</f>
        <v>150</v>
      </c>
      <c r="V223" s="26">
        <f>IF(I223-Q223=0,"",IF(D223="",(P223+S223)/(I223-Q223),IF(AND(D223&lt;&gt;"",(P223+S223)/(I223-Q223)&gt;=50%),(P223+S223)/(I223-Q223),"")))</f>
        <v>1</v>
      </c>
      <c r="W223" s="26">
        <f>IF(I223=O223,"",IF(V223="",0,(P223+Q223+S223-O223)/(I223-O223)))</f>
        <v>1</v>
      </c>
      <c r="X223" s="30"/>
      <c r="Y223" s="30"/>
      <c r="Z223" s="30"/>
      <c r="AA223" s="30"/>
      <c r="AB223" s="34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</row>
    <row r="224" spans="1:41" s="39" customFormat="1" ht="24.75" customHeight="1">
      <c r="A224" s="32"/>
      <c r="B224" s="137" t="s">
        <v>82</v>
      </c>
      <c r="C224" s="105" t="s">
        <v>158</v>
      </c>
      <c r="D224" s="29"/>
      <c r="E224" s="16" t="s">
        <v>27</v>
      </c>
      <c r="F224" s="15"/>
      <c r="G224" s="15"/>
      <c r="H224" s="15"/>
      <c r="I224" s="17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8"/>
      <c r="W224" s="18"/>
      <c r="X224" s="30"/>
      <c r="Y224" s="30"/>
      <c r="Z224" s="30"/>
      <c r="AA224" s="30"/>
      <c r="AB224" s="34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</row>
    <row r="225" spans="1:41" s="39" customFormat="1" ht="18" customHeight="1">
      <c r="A225" s="32">
        <v>60</v>
      </c>
      <c r="B225" s="138"/>
      <c r="C225" s="106" t="str">
        <f>IF(A225="","VARA",VLOOKUP(A225,'[1]varas'!$A$4:$B$67,2))</f>
        <v>VT Timbaúba</v>
      </c>
      <c r="D225" s="15"/>
      <c r="E225" s="16"/>
      <c r="F225" s="15">
        <f>147+97+18</f>
        <v>262</v>
      </c>
      <c r="G225" s="15">
        <v>20</v>
      </c>
      <c r="H225" s="15">
        <v>4</v>
      </c>
      <c r="I225" s="17">
        <f>SUM(F225:H225)</f>
        <v>286</v>
      </c>
      <c r="J225" s="15">
        <v>88</v>
      </c>
      <c r="K225" s="15">
        <v>27</v>
      </c>
      <c r="L225" s="15">
        <v>18</v>
      </c>
      <c r="M225" s="15">
        <v>0</v>
      </c>
      <c r="N225" s="15">
        <v>0</v>
      </c>
      <c r="O225" s="15">
        <v>97</v>
      </c>
      <c r="P225" s="15">
        <f>SUM(J225:O225)</f>
        <v>230</v>
      </c>
      <c r="Q225" s="15">
        <v>37</v>
      </c>
      <c r="R225" s="15">
        <v>19</v>
      </c>
      <c r="S225" s="15">
        <v>0</v>
      </c>
      <c r="T225" s="15">
        <v>0</v>
      </c>
      <c r="U225" s="15">
        <v>350</v>
      </c>
      <c r="V225" s="18"/>
      <c r="W225" s="18"/>
      <c r="X225" s="30"/>
      <c r="Y225" s="30"/>
      <c r="Z225" s="30"/>
      <c r="AA225" s="30"/>
      <c r="AB225" s="34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</row>
    <row r="226" spans="1:41" s="39" customFormat="1" ht="17.25" customHeight="1">
      <c r="A226" s="32"/>
      <c r="B226" s="133"/>
      <c r="C226" s="107" t="s">
        <v>12</v>
      </c>
      <c r="D226" s="33"/>
      <c r="E226" s="23"/>
      <c r="F226" s="24">
        <f>SUM(F224:F225)</f>
        <v>262</v>
      </c>
      <c r="G226" s="24">
        <f>SUM(G224:G225)</f>
        <v>20</v>
      </c>
      <c r="H226" s="24">
        <f>SUM(H224:H225)</f>
        <v>4</v>
      </c>
      <c r="I226" s="40">
        <f>SUM(F226:H226)</f>
        <v>286</v>
      </c>
      <c r="J226" s="24">
        <f aca="true" t="shared" si="67" ref="J226:O226">SUM(J224:J225)</f>
        <v>88</v>
      </c>
      <c r="K226" s="24">
        <f t="shared" si="67"/>
        <v>27</v>
      </c>
      <c r="L226" s="24">
        <f t="shared" si="67"/>
        <v>18</v>
      </c>
      <c r="M226" s="24">
        <f t="shared" si="67"/>
        <v>0</v>
      </c>
      <c r="N226" s="24">
        <f t="shared" si="67"/>
        <v>0</v>
      </c>
      <c r="O226" s="24">
        <f t="shared" si="67"/>
        <v>97</v>
      </c>
      <c r="P226" s="24">
        <f>SUM(J226:O226)</f>
        <v>230</v>
      </c>
      <c r="Q226" s="24">
        <f>SUM(Q224:Q225)</f>
        <v>37</v>
      </c>
      <c r="R226" s="24">
        <f>SUM(R224:R225)</f>
        <v>19</v>
      </c>
      <c r="S226" s="24">
        <f>SUM(S224:S225)</f>
        <v>0</v>
      </c>
      <c r="T226" s="24">
        <f>SUM(T224:T225)</f>
        <v>0</v>
      </c>
      <c r="U226" s="24">
        <f>SUM(U224:U225)</f>
        <v>350</v>
      </c>
      <c r="V226" s="26">
        <f>IF(I226-Q226=0,"",IF(D226="",(P226+S226)/(I226-Q226),IF(AND(D226&lt;&gt;"",(P226+S226)/(I226-Q226)&gt;=50%),(P226+S226)/(I226-Q226),"")))</f>
        <v>0.9236947791164659</v>
      </c>
      <c r="W226" s="26">
        <f>IF(I226=O226,"",IF(V226="",0,(P226+Q226+S226-O226)/(I226-O226)))</f>
        <v>0.8994708994708994</v>
      </c>
      <c r="X226" s="30"/>
      <c r="Y226" s="30"/>
      <c r="Z226" s="30"/>
      <c r="AA226" s="30"/>
      <c r="AB226" s="34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</row>
    <row r="227" spans="1:41" s="39" customFormat="1" ht="24" customHeight="1">
      <c r="A227" s="32"/>
      <c r="B227" s="137" t="s">
        <v>162</v>
      </c>
      <c r="C227" s="105" t="s">
        <v>155</v>
      </c>
      <c r="D227" s="15"/>
      <c r="E227" s="16" t="s">
        <v>27</v>
      </c>
      <c r="F227" s="15"/>
      <c r="G227" s="15"/>
      <c r="H227" s="15"/>
      <c r="I227" s="17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8"/>
      <c r="W227" s="18"/>
      <c r="X227" s="30"/>
      <c r="Y227" s="30"/>
      <c r="Z227" s="30"/>
      <c r="AA227" s="30"/>
      <c r="AB227" s="34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</row>
    <row r="228" spans="1:41" s="39" customFormat="1" ht="24" customHeight="1">
      <c r="A228" s="32">
        <v>1</v>
      </c>
      <c r="B228" s="138"/>
      <c r="C228" s="106" t="str">
        <f>IF(A228="","VARA",VLOOKUP(A228,'[1]varas'!$A$4:$B$67,2))</f>
        <v>1ª VT Recife</v>
      </c>
      <c r="D228" s="15"/>
      <c r="E228" s="16"/>
      <c r="F228" s="15">
        <f>39+42+8</f>
        <v>89</v>
      </c>
      <c r="G228" s="15">
        <v>15</v>
      </c>
      <c r="H228" s="15">
        <v>0</v>
      </c>
      <c r="I228" s="17">
        <f>SUM(F228:H228)</f>
        <v>104</v>
      </c>
      <c r="J228" s="15">
        <v>24</v>
      </c>
      <c r="K228" s="15">
        <v>17</v>
      </c>
      <c r="L228" s="15">
        <v>6</v>
      </c>
      <c r="M228" s="15">
        <v>2</v>
      </c>
      <c r="N228" s="15">
        <v>0</v>
      </c>
      <c r="O228" s="15">
        <v>42</v>
      </c>
      <c r="P228" s="15">
        <f>SUM(J228:O228)</f>
        <v>91</v>
      </c>
      <c r="Q228" s="15">
        <v>13</v>
      </c>
      <c r="R228" s="15">
        <v>0</v>
      </c>
      <c r="S228" s="15">
        <v>0</v>
      </c>
      <c r="T228" s="15">
        <v>0</v>
      </c>
      <c r="U228" s="15">
        <v>159</v>
      </c>
      <c r="V228" s="18"/>
      <c r="W228" s="18"/>
      <c r="X228" s="30"/>
      <c r="Y228" s="30"/>
      <c r="Z228" s="30"/>
      <c r="AA228" s="30"/>
      <c r="AB228" s="34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</row>
    <row r="229" spans="1:41" s="39" customFormat="1" ht="21" customHeight="1">
      <c r="A229" s="32">
        <v>8</v>
      </c>
      <c r="B229" s="138"/>
      <c r="C229" s="106" t="str">
        <f>IF(A229="","VARA",VLOOKUP(A229,'[1]varas'!$A$4:$B$67,2))</f>
        <v>8ª VT Recife</v>
      </c>
      <c r="D229" s="15"/>
      <c r="E229" s="16"/>
      <c r="F229" s="15">
        <v>1</v>
      </c>
      <c r="G229" s="15">
        <v>0</v>
      </c>
      <c r="H229" s="15">
        <v>0</v>
      </c>
      <c r="I229" s="17">
        <f>SUM(F229:H229)</f>
        <v>1</v>
      </c>
      <c r="J229" s="15">
        <v>1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15">
        <f>SUM(J229:O229)</f>
        <v>1</v>
      </c>
      <c r="Q229" s="15">
        <v>0</v>
      </c>
      <c r="R229" s="15">
        <v>0</v>
      </c>
      <c r="S229" s="15">
        <v>0</v>
      </c>
      <c r="T229" s="15">
        <v>0</v>
      </c>
      <c r="U229" s="15">
        <v>0</v>
      </c>
      <c r="V229" s="18"/>
      <c r="W229" s="18"/>
      <c r="X229" s="30"/>
      <c r="Y229" s="30"/>
      <c r="Z229" s="30"/>
      <c r="AA229" s="30"/>
      <c r="AB229" s="34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</row>
    <row r="230" spans="1:41" s="53" customFormat="1" ht="22.5" customHeight="1">
      <c r="A230" s="47"/>
      <c r="B230" s="133"/>
      <c r="C230" s="106" t="s">
        <v>12</v>
      </c>
      <c r="D230" s="24"/>
      <c r="E230" s="48"/>
      <c r="F230" s="24">
        <f>SUM(F227:F229)</f>
        <v>90</v>
      </c>
      <c r="G230" s="24">
        <f>SUM(G227:G229)</f>
        <v>15</v>
      </c>
      <c r="H230" s="24">
        <f>SUM(H227:H229)</f>
        <v>0</v>
      </c>
      <c r="I230" s="40">
        <f>SUM(F230:H230)</f>
        <v>105</v>
      </c>
      <c r="J230" s="24">
        <f aca="true" t="shared" si="68" ref="J230:O230">SUM(J227:J229)</f>
        <v>25</v>
      </c>
      <c r="K230" s="24">
        <f t="shared" si="68"/>
        <v>17</v>
      </c>
      <c r="L230" s="24">
        <f t="shared" si="68"/>
        <v>6</v>
      </c>
      <c r="M230" s="24">
        <f t="shared" si="68"/>
        <v>2</v>
      </c>
      <c r="N230" s="24">
        <f t="shared" si="68"/>
        <v>0</v>
      </c>
      <c r="O230" s="24">
        <f t="shared" si="68"/>
        <v>42</v>
      </c>
      <c r="P230" s="24">
        <f>SUM(J230:O230)</f>
        <v>92</v>
      </c>
      <c r="Q230" s="24">
        <f>SUM(Q227:Q229)</f>
        <v>13</v>
      </c>
      <c r="R230" s="24">
        <f>SUM(R227:R229)</f>
        <v>0</v>
      </c>
      <c r="S230" s="24">
        <f>SUM(S227:S229)</f>
        <v>0</v>
      </c>
      <c r="T230" s="24">
        <f>SUM(T227:T229)</f>
        <v>0</v>
      </c>
      <c r="U230" s="24">
        <f>SUM(U227:U229)</f>
        <v>159</v>
      </c>
      <c r="V230" s="26">
        <f>IF(I230-Q230=0,"",IF(D230="",(P230+S230)/(I230-Q230),IF(AND(D230&lt;&gt;"",(P230+S230)/(I230-Q230)&gt;=50%),(P230+S230)/(I230-Q230),"")))</f>
        <v>1</v>
      </c>
      <c r="W230" s="26">
        <f>IF(I230=O230,"",IF(V230="",0,(P230+Q230+S230-O230)/(I230-O230)))</f>
        <v>1</v>
      </c>
      <c r="X230" s="49"/>
      <c r="Y230" s="49"/>
      <c r="Z230" s="49"/>
      <c r="AA230" s="49"/>
      <c r="AB230" s="50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</row>
    <row r="231" spans="1:41" s="39" customFormat="1" ht="20.25" customHeight="1">
      <c r="A231" s="32"/>
      <c r="B231" s="129" t="s">
        <v>83</v>
      </c>
      <c r="C231" s="14" t="s">
        <v>158</v>
      </c>
      <c r="D231" s="29" t="s">
        <v>30</v>
      </c>
      <c r="E231" s="16" t="s">
        <v>201</v>
      </c>
      <c r="F231" s="15"/>
      <c r="G231" s="15"/>
      <c r="H231" s="15"/>
      <c r="I231" s="17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8"/>
      <c r="W231" s="18"/>
      <c r="X231" s="30"/>
      <c r="Y231" s="30"/>
      <c r="Z231" s="30"/>
      <c r="AA231" s="30"/>
      <c r="AB231" s="34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</row>
    <row r="232" spans="1:41" s="39" customFormat="1" ht="23.25" customHeight="1">
      <c r="A232" s="32">
        <v>31</v>
      </c>
      <c r="B232" s="129"/>
      <c r="C232" s="20" t="str">
        <f>IF(A232="","VARA",VLOOKUP(A232,'[1]varas'!$A$4:$B$67,2))</f>
        <v>1ª VT Igarassu</v>
      </c>
      <c r="D232" s="15"/>
      <c r="E232" s="16"/>
      <c r="F232" s="15">
        <v>6</v>
      </c>
      <c r="G232" s="15">
        <v>5</v>
      </c>
      <c r="H232" s="15">
        <v>0</v>
      </c>
      <c r="I232" s="17">
        <f>SUM(F232:H232)</f>
        <v>11</v>
      </c>
      <c r="J232" s="15">
        <v>3</v>
      </c>
      <c r="K232" s="15">
        <v>3</v>
      </c>
      <c r="L232" s="15">
        <v>0</v>
      </c>
      <c r="M232" s="15">
        <v>0</v>
      </c>
      <c r="N232" s="15">
        <v>0</v>
      </c>
      <c r="O232" s="15">
        <v>3</v>
      </c>
      <c r="P232" s="15">
        <f>SUM(J232:O232)</f>
        <v>9</v>
      </c>
      <c r="Q232" s="15">
        <v>2</v>
      </c>
      <c r="R232" s="15">
        <v>0</v>
      </c>
      <c r="S232" s="15">
        <v>0</v>
      </c>
      <c r="T232" s="15">
        <v>0</v>
      </c>
      <c r="U232" s="15">
        <v>15</v>
      </c>
      <c r="V232" s="18"/>
      <c r="W232" s="18"/>
      <c r="X232" s="30"/>
      <c r="Y232" s="30"/>
      <c r="Z232" s="30"/>
      <c r="AA232" s="30"/>
      <c r="AB232" s="34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</row>
    <row r="233" spans="1:41" s="39" customFormat="1" ht="20.25" customHeight="1">
      <c r="A233" s="32">
        <v>67</v>
      </c>
      <c r="B233" s="136"/>
      <c r="C233" s="20" t="s">
        <v>170</v>
      </c>
      <c r="D233" s="15"/>
      <c r="E233" s="16"/>
      <c r="F233" s="15">
        <v>0</v>
      </c>
      <c r="G233" s="15">
        <v>0</v>
      </c>
      <c r="H233" s="15">
        <v>0</v>
      </c>
      <c r="I233" s="17">
        <f>SUM(F233:H233)</f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15">
        <f>SUM(J233:O233)</f>
        <v>0</v>
      </c>
      <c r="Q233" s="15">
        <v>0</v>
      </c>
      <c r="R233" s="15">
        <v>0</v>
      </c>
      <c r="S233" s="15">
        <v>0</v>
      </c>
      <c r="T233" s="15">
        <v>0</v>
      </c>
      <c r="U233" s="15">
        <v>0</v>
      </c>
      <c r="V233" s="18"/>
      <c r="W233" s="18"/>
      <c r="X233" s="30"/>
      <c r="Y233" s="30"/>
      <c r="Z233" s="30"/>
      <c r="AA233" s="30"/>
      <c r="AB233" s="34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</row>
    <row r="234" spans="1:41" s="39" customFormat="1" ht="20.25" customHeight="1">
      <c r="A234" s="32"/>
      <c r="B234" s="136"/>
      <c r="C234" s="21" t="s">
        <v>12</v>
      </c>
      <c r="D234" s="33"/>
      <c r="E234" s="23"/>
      <c r="F234" s="24">
        <f>SUM(F231:F233)</f>
        <v>6</v>
      </c>
      <c r="G234" s="24">
        <f>SUM(G231:G233)</f>
        <v>5</v>
      </c>
      <c r="H234" s="24">
        <f>SUM(H231:H233)</f>
        <v>0</v>
      </c>
      <c r="I234" s="40">
        <f>SUM(F234:H234)</f>
        <v>11</v>
      </c>
      <c r="J234" s="24">
        <f aca="true" t="shared" si="69" ref="J234:O234">SUM(J231:J233)</f>
        <v>3</v>
      </c>
      <c r="K234" s="24">
        <f t="shared" si="69"/>
        <v>3</v>
      </c>
      <c r="L234" s="24">
        <f t="shared" si="69"/>
        <v>0</v>
      </c>
      <c r="M234" s="24">
        <f t="shared" si="69"/>
        <v>0</v>
      </c>
      <c r="N234" s="24">
        <f t="shared" si="69"/>
        <v>0</v>
      </c>
      <c r="O234" s="24">
        <f t="shared" si="69"/>
        <v>3</v>
      </c>
      <c r="P234" s="24">
        <f>SUM(J234:O234)</f>
        <v>9</v>
      </c>
      <c r="Q234" s="24">
        <f>SUM(Q231:Q233)</f>
        <v>2</v>
      </c>
      <c r="R234" s="24">
        <f>SUM(R231:R233)</f>
        <v>0</v>
      </c>
      <c r="S234" s="24">
        <f>SUM(S231:S233)</f>
        <v>0</v>
      </c>
      <c r="T234" s="24">
        <f>SUM(T231:T233)</f>
        <v>0</v>
      </c>
      <c r="U234" s="24">
        <f>SUM(U231:U233)</f>
        <v>15</v>
      </c>
      <c r="V234" s="26">
        <f>IF(I234-Q234=0,"",IF(D234="",(P234+S234)/(I234-Q234),IF(AND(D234&lt;&gt;"",(P234+S234)/(I234-Q234)&gt;=50%),(P234+S234)/(I234-Q234),"")))</f>
        <v>1</v>
      </c>
      <c r="W234" s="26">
        <f>IF(I234=O234,"",IF(V234="",0,(P234+Q234+S234-O234)/(I234-O234)))</f>
        <v>1</v>
      </c>
      <c r="X234" s="30"/>
      <c r="Y234" s="30"/>
      <c r="Z234" s="30"/>
      <c r="AA234" s="30"/>
      <c r="AB234" s="34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</row>
    <row r="235" spans="1:41" s="39" customFormat="1" ht="19.5" customHeight="1">
      <c r="A235" s="32"/>
      <c r="B235" s="136" t="s">
        <v>84</v>
      </c>
      <c r="C235" s="14" t="s">
        <v>2</v>
      </c>
      <c r="D235" s="29"/>
      <c r="E235" s="16" t="s">
        <v>27</v>
      </c>
      <c r="F235" s="15"/>
      <c r="G235" s="15"/>
      <c r="H235" s="15"/>
      <c r="I235" s="17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8"/>
      <c r="W235" s="18"/>
      <c r="X235" s="30"/>
      <c r="Y235" s="30"/>
      <c r="Z235" s="30"/>
      <c r="AA235" s="30"/>
      <c r="AB235" s="34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</row>
    <row r="236" spans="1:41" s="39" customFormat="1" ht="18.75" customHeight="1">
      <c r="A236" s="32">
        <v>13</v>
      </c>
      <c r="B236" s="136"/>
      <c r="C236" s="20" t="str">
        <f>IF(A236="","VARA",VLOOKUP(A236,'[1]varas'!$A$4:$B$67,2))</f>
        <v>13ª VT Recife</v>
      </c>
      <c r="D236" s="15"/>
      <c r="E236" s="16"/>
      <c r="F236" s="15">
        <f>44+31+10</f>
        <v>85</v>
      </c>
      <c r="G236" s="15">
        <v>11</v>
      </c>
      <c r="H236" s="15">
        <v>37</v>
      </c>
      <c r="I236" s="17">
        <f>SUM(F236:H236)</f>
        <v>133</v>
      </c>
      <c r="J236" s="15">
        <v>24</v>
      </c>
      <c r="K236" s="15">
        <v>7</v>
      </c>
      <c r="L236" s="15">
        <v>10</v>
      </c>
      <c r="M236" s="15">
        <v>0</v>
      </c>
      <c r="N236" s="15">
        <v>0</v>
      </c>
      <c r="O236" s="15">
        <v>31</v>
      </c>
      <c r="P236" s="15">
        <f>SUM(J236:O236)</f>
        <v>72</v>
      </c>
      <c r="Q236" s="15">
        <v>11</v>
      </c>
      <c r="R236" s="15">
        <v>50</v>
      </c>
      <c r="S236" s="15">
        <v>0</v>
      </c>
      <c r="T236" s="15">
        <v>0</v>
      </c>
      <c r="U236" s="15">
        <v>141</v>
      </c>
      <c r="V236" s="18"/>
      <c r="W236" s="18"/>
      <c r="X236" s="30"/>
      <c r="Y236" s="30"/>
      <c r="Z236" s="30"/>
      <c r="AA236" s="30"/>
      <c r="AB236" s="34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</row>
    <row r="237" spans="1:41" s="53" customFormat="1" ht="16.5" customHeight="1">
      <c r="A237" s="47"/>
      <c r="B237" s="130"/>
      <c r="C237" s="21" t="s">
        <v>12</v>
      </c>
      <c r="D237" s="51"/>
      <c r="E237" s="52"/>
      <c r="F237" s="24">
        <f>SUM(F235:F236)</f>
        <v>85</v>
      </c>
      <c r="G237" s="24">
        <f>SUM(G235:G236)</f>
        <v>11</v>
      </c>
      <c r="H237" s="24">
        <f>SUM(H235:H236)</f>
        <v>37</v>
      </c>
      <c r="I237" s="25">
        <f>SUM(F237:H237)</f>
        <v>133</v>
      </c>
      <c r="J237" s="24">
        <f aca="true" t="shared" si="70" ref="J237:O237">SUM(J235:J236)</f>
        <v>24</v>
      </c>
      <c r="K237" s="24">
        <f t="shared" si="70"/>
        <v>7</v>
      </c>
      <c r="L237" s="24">
        <f t="shared" si="70"/>
        <v>10</v>
      </c>
      <c r="M237" s="24">
        <f t="shared" si="70"/>
        <v>0</v>
      </c>
      <c r="N237" s="24">
        <f t="shared" si="70"/>
        <v>0</v>
      </c>
      <c r="O237" s="24">
        <f t="shared" si="70"/>
        <v>31</v>
      </c>
      <c r="P237" s="24">
        <f>SUM(J237:O237)</f>
        <v>72</v>
      </c>
      <c r="Q237" s="24">
        <f>SUM(Q235:Q236)</f>
        <v>11</v>
      </c>
      <c r="R237" s="24">
        <f>SUM(R235:R236)</f>
        <v>50</v>
      </c>
      <c r="S237" s="24">
        <f>SUM(S235:S236)</f>
        <v>0</v>
      </c>
      <c r="T237" s="24">
        <f>SUM(T235:T236)</f>
        <v>0</v>
      </c>
      <c r="U237" s="24">
        <f>SUM(U235:U236)</f>
        <v>141</v>
      </c>
      <c r="V237" s="26">
        <f>IF(I237-Q237=0,"",IF(D237="",(P237+S237)/(I237-Q237),IF(AND(D237&lt;&gt;"",(P237+S237)/(I237-Q237)&gt;=50%),(P237+S237)/(I237-Q237),"")))</f>
        <v>0.5901639344262295</v>
      </c>
      <c r="W237" s="26">
        <f>IF(I237=O237,"",IF(V237="",0,(P237+Q237+S237-O237)/(I237-O237)))</f>
        <v>0.5098039215686274</v>
      </c>
      <c r="X237" s="49"/>
      <c r="Y237" s="49"/>
      <c r="Z237" s="49"/>
      <c r="AA237" s="49"/>
      <c r="AB237" s="50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</row>
    <row r="238" spans="1:41" s="53" customFormat="1" ht="21.75" customHeight="1">
      <c r="A238" s="47"/>
      <c r="B238" s="137" t="s">
        <v>85</v>
      </c>
      <c r="C238" s="105" t="s">
        <v>155</v>
      </c>
      <c r="D238" s="29" t="s">
        <v>30</v>
      </c>
      <c r="E238" s="16" t="s">
        <v>200</v>
      </c>
      <c r="F238" s="15"/>
      <c r="G238" s="15"/>
      <c r="H238" s="15"/>
      <c r="I238" s="17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8"/>
      <c r="W238" s="18"/>
      <c r="X238" s="49"/>
      <c r="Y238" s="49"/>
      <c r="Z238" s="49"/>
      <c r="AA238" s="49"/>
      <c r="AB238" s="50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</row>
    <row r="239" spans="1:41" s="53" customFormat="1" ht="22.5" customHeight="1">
      <c r="A239" s="47">
        <v>20</v>
      </c>
      <c r="B239" s="138"/>
      <c r="C239" s="106" t="str">
        <f>IF(A239="","VARA",VLOOKUP(A239,'[1]varas'!$A$4:$B$67,2))</f>
        <v>20ª VT Recife</v>
      </c>
      <c r="D239" s="15"/>
      <c r="E239" s="16"/>
      <c r="F239" s="15">
        <f>15+19</f>
        <v>34</v>
      </c>
      <c r="G239" s="15">
        <v>0</v>
      </c>
      <c r="H239" s="15">
        <v>0</v>
      </c>
      <c r="I239" s="17">
        <f>SUM(F239:H239)</f>
        <v>34</v>
      </c>
      <c r="J239" s="15">
        <v>6</v>
      </c>
      <c r="K239" s="15">
        <v>9</v>
      </c>
      <c r="L239" s="15">
        <v>0</v>
      </c>
      <c r="M239" s="15">
        <v>0</v>
      </c>
      <c r="N239" s="15">
        <v>0</v>
      </c>
      <c r="O239" s="15">
        <v>19</v>
      </c>
      <c r="P239" s="15">
        <f>SUM(J239:O239)</f>
        <v>34</v>
      </c>
      <c r="Q239" s="15">
        <v>0</v>
      </c>
      <c r="R239" s="15">
        <v>0</v>
      </c>
      <c r="S239" s="15">
        <v>0</v>
      </c>
      <c r="T239" s="15">
        <v>0</v>
      </c>
      <c r="U239" s="15">
        <v>90</v>
      </c>
      <c r="V239" s="18"/>
      <c r="W239" s="18"/>
      <c r="X239" s="49"/>
      <c r="Y239" s="49"/>
      <c r="Z239" s="49"/>
      <c r="AA239" s="49"/>
      <c r="AB239" s="50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</row>
    <row r="240" spans="1:41" s="53" customFormat="1" ht="22.5" customHeight="1">
      <c r="A240" s="47"/>
      <c r="B240" s="133"/>
      <c r="C240" s="107" t="s">
        <v>12</v>
      </c>
      <c r="D240" s="33"/>
      <c r="E240" s="23"/>
      <c r="F240" s="24">
        <f>SUM(F238:F239)</f>
        <v>34</v>
      </c>
      <c r="G240" s="24">
        <f>SUM(G238:G239)</f>
        <v>0</v>
      </c>
      <c r="H240" s="24">
        <f>SUM(H238:H239)</f>
        <v>0</v>
      </c>
      <c r="I240" s="40">
        <f>SUM(F240:H240)</f>
        <v>34</v>
      </c>
      <c r="J240" s="24">
        <f aca="true" t="shared" si="71" ref="J240:O240">SUM(J238:J239)</f>
        <v>6</v>
      </c>
      <c r="K240" s="24">
        <f t="shared" si="71"/>
        <v>9</v>
      </c>
      <c r="L240" s="24">
        <f t="shared" si="71"/>
        <v>0</v>
      </c>
      <c r="M240" s="24">
        <f t="shared" si="71"/>
        <v>0</v>
      </c>
      <c r="N240" s="24">
        <f t="shared" si="71"/>
        <v>0</v>
      </c>
      <c r="O240" s="24">
        <f t="shared" si="71"/>
        <v>19</v>
      </c>
      <c r="P240" s="24">
        <f>SUM(J240:O240)</f>
        <v>34</v>
      </c>
      <c r="Q240" s="24">
        <f>SUM(Q238:Q239)</f>
        <v>0</v>
      </c>
      <c r="R240" s="24">
        <f>SUM(R238:R239)</f>
        <v>0</v>
      </c>
      <c r="S240" s="24">
        <f>SUM(S238:S239)</f>
        <v>0</v>
      </c>
      <c r="T240" s="24">
        <f>SUM(T238:T239)</f>
        <v>0</v>
      </c>
      <c r="U240" s="24">
        <f>SUM(U238:U239)</f>
        <v>90</v>
      </c>
      <c r="V240" s="26">
        <f>IF(I240-Q240=0,"",IF(D240="",(P240+S240)/(I240-Q240),IF(AND(D240&lt;&gt;"",(P240+S240)/(I240-Q240)&gt;=50%),(P240+S240)/(I240-Q240),"")))</f>
        <v>1</v>
      </c>
      <c r="W240" s="26">
        <f>IF(I240=O240,"",IF(V240="",0,(P240+Q240+S240-O240)/(I240-O240)))</f>
        <v>1</v>
      </c>
      <c r="X240" s="49"/>
      <c r="Y240" s="49"/>
      <c r="Z240" s="49"/>
      <c r="AA240" s="49"/>
      <c r="AB240" s="50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</row>
    <row r="241" spans="1:41" s="39" customFormat="1" ht="24.75" customHeight="1">
      <c r="A241" s="32"/>
      <c r="B241" s="137" t="s">
        <v>171</v>
      </c>
      <c r="C241" s="105" t="s">
        <v>158</v>
      </c>
      <c r="D241" s="29" t="s">
        <v>30</v>
      </c>
      <c r="E241" s="16" t="s">
        <v>216</v>
      </c>
      <c r="F241" s="15"/>
      <c r="G241" s="15"/>
      <c r="H241" s="15"/>
      <c r="I241" s="17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8"/>
      <c r="W241" s="18"/>
      <c r="X241" s="30"/>
      <c r="Y241" s="30"/>
      <c r="Z241" s="30"/>
      <c r="AA241" s="30"/>
      <c r="AB241" s="34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</row>
    <row r="242" spans="1:41" s="39" customFormat="1" ht="21.75" customHeight="1">
      <c r="A242" s="32">
        <v>25</v>
      </c>
      <c r="B242" s="138"/>
      <c r="C242" s="106" t="str">
        <f>IF(A242="","VARA",VLOOKUP(A242,'[1]varas'!$A$4:$B$67,2))</f>
        <v>2ª VT Barreiros</v>
      </c>
      <c r="D242" s="15"/>
      <c r="E242" s="16"/>
      <c r="F242" s="15">
        <v>0</v>
      </c>
      <c r="G242" s="15">
        <v>13</v>
      </c>
      <c r="H242" s="15">
        <v>0</v>
      </c>
      <c r="I242" s="17">
        <f>SUM(F242:H242)</f>
        <v>13</v>
      </c>
      <c r="J242" s="15">
        <v>13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15">
        <f>SUM(J242:O242)</f>
        <v>13</v>
      </c>
      <c r="Q242" s="15">
        <v>0</v>
      </c>
      <c r="R242" s="15">
        <v>0</v>
      </c>
      <c r="S242" s="15">
        <v>0</v>
      </c>
      <c r="T242" s="15">
        <v>0</v>
      </c>
      <c r="U242" s="15">
        <v>0</v>
      </c>
      <c r="V242" s="18"/>
      <c r="W242" s="18"/>
      <c r="X242" s="30"/>
      <c r="Y242" s="30"/>
      <c r="Z242" s="30"/>
      <c r="AA242" s="30"/>
      <c r="AB242" s="34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</row>
    <row r="243" spans="1:41" s="39" customFormat="1" ht="21.75" customHeight="1">
      <c r="A243" s="32">
        <v>37</v>
      </c>
      <c r="B243" s="138"/>
      <c r="C243" s="106" t="str">
        <f>IF(A243="","VARA",VLOOKUP(A243,'[1]varas'!$A$4:$B$67,2))</f>
        <v>4ª VT Jaboatão</v>
      </c>
      <c r="D243" s="15"/>
      <c r="E243" s="16"/>
      <c r="F243" s="15">
        <f>27+7+7</f>
        <v>41</v>
      </c>
      <c r="G243" s="15">
        <v>0</v>
      </c>
      <c r="H243" s="15">
        <v>0</v>
      </c>
      <c r="I243" s="17">
        <f>SUM(F243:H243)</f>
        <v>41</v>
      </c>
      <c r="J243" s="15">
        <v>3</v>
      </c>
      <c r="K243" s="15">
        <v>7</v>
      </c>
      <c r="L243" s="15">
        <v>2</v>
      </c>
      <c r="M243" s="15">
        <v>1</v>
      </c>
      <c r="N243" s="15">
        <v>0</v>
      </c>
      <c r="O243" s="15">
        <v>7</v>
      </c>
      <c r="P243" s="15">
        <f>SUM(J243:O243)</f>
        <v>20</v>
      </c>
      <c r="Q243" s="15">
        <v>17</v>
      </c>
      <c r="R243" s="15">
        <v>4</v>
      </c>
      <c r="S243" s="15">
        <v>0</v>
      </c>
      <c r="T243" s="15">
        <v>0</v>
      </c>
      <c r="U243" s="15">
        <v>57</v>
      </c>
      <c r="V243" s="18"/>
      <c r="W243" s="18"/>
      <c r="X243" s="30"/>
      <c r="Y243" s="30"/>
      <c r="Z243" s="30"/>
      <c r="AA243" s="30"/>
      <c r="AB243" s="34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</row>
    <row r="244" spans="1:41" s="39" customFormat="1" ht="21.75" customHeight="1">
      <c r="A244" s="32">
        <v>60</v>
      </c>
      <c r="B244" s="138"/>
      <c r="C244" s="106" t="str">
        <f>IF(A244="","VARA",VLOOKUP(A244,'[1]varas'!$A$4:$B$67,2))</f>
        <v>VT Timbaúba</v>
      </c>
      <c r="D244" s="15"/>
      <c r="E244" s="16"/>
      <c r="F244" s="15">
        <v>9</v>
      </c>
      <c r="G244" s="15">
        <v>0</v>
      </c>
      <c r="H244" s="15">
        <v>1</v>
      </c>
      <c r="I244" s="17">
        <f>SUM(F244:H244)</f>
        <v>10</v>
      </c>
      <c r="J244" s="15">
        <v>1</v>
      </c>
      <c r="K244" s="15">
        <v>0</v>
      </c>
      <c r="L244" s="15">
        <v>0</v>
      </c>
      <c r="M244" s="15">
        <v>0</v>
      </c>
      <c r="N244" s="15">
        <v>0</v>
      </c>
      <c r="O244" s="15">
        <v>1</v>
      </c>
      <c r="P244" s="15">
        <f>SUM(J244:O244)</f>
        <v>2</v>
      </c>
      <c r="Q244" s="15">
        <v>8</v>
      </c>
      <c r="R244" s="15">
        <v>0</v>
      </c>
      <c r="S244" s="15">
        <v>0</v>
      </c>
      <c r="T244" s="15">
        <v>0</v>
      </c>
      <c r="U244" s="15">
        <v>9</v>
      </c>
      <c r="V244" s="18"/>
      <c r="W244" s="18"/>
      <c r="X244" s="30"/>
      <c r="Y244" s="30"/>
      <c r="Z244" s="30"/>
      <c r="AA244" s="30"/>
      <c r="AB244" s="34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</row>
    <row r="245" spans="1:41" s="39" customFormat="1" ht="20.25" customHeight="1">
      <c r="A245" s="32"/>
      <c r="B245" s="133"/>
      <c r="C245" s="107" t="s">
        <v>12</v>
      </c>
      <c r="D245" s="33"/>
      <c r="E245" s="23"/>
      <c r="F245" s="24">
        <f>SUM(F241:F244)</f>
        <v>50</v>
      </c>
      <c r="G245" s="24">
        <f>SUM(G241:G244)</f>
        <v>13</v>
      </c>
      <c r="H245" s="24">
        <f>SUM(H241:H244)</f>
        <v>1</v>
      </c>
      <c r="I245" s="40">
        <f>SUM(F245:H245)</f>
        <v>64</v>
      </c>
      <c r="J245" s="24">
        <f aca="true" t="shared" si="72" ref="J245:O245">SUM(J241:J244)</f>
        <v>17</v>
      </c>
      <c r="K245" s="24">
        <f t="shared" si="72"/>
        <v>7</v>
      </c>
      <c r="L245" s="24">
        <f t="shared" si="72"/>
        <v>2</v>
      </c>
      <c r="M245" s="24">
        <f t="shared" si="72"/>
        <v>1</v>
      </c>
      <c r="N245" s="24">
        <f t="shared" si="72"/>
        <v>0</v>
      </c>
      <c r="O245" s="24">
        <f t="shared" si="72"/>
        <v>8</v>
      </c>
      <c r="P245" s="24">
        <f>SUM(J245:O245)</f>
        <v>35</v>
      </c>
      <c r="Q245" s="24">
        <f>SUM(Q241:Q244)</f>
        <v>25</v>
      </c>
      <c r="R245" s="24">
        <f>SUM(R241:R244)</f>
        <v>4</v>
      </c>
      <c r="S245" s="24">
        <f>SUM(S241:S244)</f>
        <v>0</v>
      </c>
      <c r="T245" s="24">
        <f>SUM(T241:T244)</f>
        <v>0</v>
      </c>
      <c r="U245" s="24">
        <f>SUM(U241:U244)</f>
        <v>66</v>
      </c>
      <c r="V245" s="26">
        <f>IF(I245-Q245=0,"",IF(D245="",(P245+S245)/(I245-Q245),IF(AND(D245&lt;&gt;"",(P245+S245)/(I245-Q245)&gt;=50%),(P245+S245)/(I245-Q245),"")))</f>
        <v>0.8974358974358975</v>
      </c>
      <c r="W245" s="26">
        <f>IF(I245=O245,"",IF(V245="",0,(P245+Q245+S245-O245)/(I245-O245)))</f>
        <v>0.9285714285714286</v>
      </c>
      <c r="X245" s="30"/>
      <c r="Y245" s="30"/>
      <c r="Z245" s="30"/>
      <c r="AA245" s="30"/>
      <c r="AB245" s="34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</row>
    <row r="246" spans="1:41" s="39" customFormat="1" ht="25.5" customHeight="1">
      <c r="A246" s="32"/>
      <c r="B246" s="129" t="s">
        <v>86</v>
      </c>
      <c r="C246" s="14" t="s">
        <v>2</v>
      </c>
      <c r="D246" s="29" t="s">
        <v>30</v>
      </c>
      <c r="E246" s="16" t="s">
        <v>228</v>
      </c>
      <c r="F246" s="15"/>
      <c r="G246" s="15"/>
      <c r="H246" s="15"/>
      <c r="I246" s="17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8"/>
      <c r="W246" s="18"/>
      <c r="X246" s="30"/>
      <c r="Y246" s="30"/>
      <c r="Z246" s="30"/>
      <c r="AA246" s="30"/>
      <c r="AB246" s="34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</row>
    <row r="247" spans="1:41" s="39" customFormat="1" ht="23.25" customHeight="1">
      <c r="A247" s="32">
        <v>28</v>
      </c>
      <c r="B247" s="136"/>
      <c r="C247" s="20" t="str">
        <f>IF(A247="","VARA",VLOOKUP(A247,'[1]varas'!$A$4:$B$67,2))</f>
        <v>1ª VT Caruaru</v>
      </c>
      <c r="D247" s="15"/>
      <c r="E247" s="16"/>
      <c r="F247" s="15">
        <v>7</v>
      </c>
      <c r="G247" s="15">
        <v>0</v>
      </c>
      <c r="H247" s="15">
        <v>0</v>
      </c>
      <c r="I247" s="17">
        <f>SUM(F247:H247)</f>
        <v>7</v>
      </c>
      <c r="J247" s="15">
        <v>6</v>
      </c>
      <c r="K247" s="15">
        <v>0</v>
      </c>
      <c r="L247" s="15">
        <v>0</v>
      </c>
      <c r="M247" s="15">
        <v>1</v>
      </c>
      <c r="N247" s="15">
        <v>0</v>
      </c>
      <c r="O247" s="15">
        <v>0</v>
      </c>
      <c r="P247" s="15">
        <f>SUM(J247:O247)</f>
        <v>7</v>
      </c>
      <c r="Q247" s="15">
        <v>0</v>
      </c>
      <c r="R247" s="15">
        <v>0</v>
      </c>
      <c r="S247" s="15">
        <v>0</v>
      </c>
      <c r="T247" s="15">
        <v>0</v>
      </c>
      <c r="U247" s="15">
        <v>0</v>
      </c>
      <c r="V247" s="18"/>
      <c r="W247" s="18"/>
      <c r="X247" s="30"/>
      <c r="Y247" s="30"/>
      <c r="Z247" s="30"/>
      <c r="AA247" s="30"/>
      <c r="AB247" s="34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</row>
    <row r="248" spans="1:41" s="39" customFormat="1" ht="23.25" customHeight="1">
      <c r="A248" s="32">
        <v>29</v>
      </c>
      <c r="B248" s="136"/>
      <c r="C248" s="20" t="str">
        <f>IF(A248="","VARA",VLOOKUP(A248,'[1]varas'!$A$4:$B$67,2))</f>
        <v>2ª VT Caruaru</v>
      </c>
      <c r="D248" s="15"/>
      <c r="E248" s="16"/>
      <c r="F248" s="15">
        <v>3</v>
      </c>
      <c r="G248" s="15">
        <v>0</v>
      </c>
      <c r="H248" s="15">
        <v>1</v>
      </c>
      <c r="I248" s="17">
        <f>SUM(F248:H248)</f>
        <v>4</v>
      </c>
      <c r="J248" s="15">
        <v>1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15">
        <f>SUM(J248:O248)</f>
        <v>1</v>
      </c>
      <c r="Q248" s="15">
        <v>3</v>
      </c>
      <c r="R248" s="15">
        <v>0</v>
      </c>
      <c r="S248" s="15">
        <v>0</v>
      </c>
      <c r="T248" s="15">
        <v>0</v>
      </c>
      <c r="U248" s="15">
        <v>0</v>
      </c>
      <c r="V248" s="18"/>
      <c r="W248" s="18"/>
      <c r="X248" s="30"/>
      <c r="Y248" s="30"/>
      <c r="Z248" s="30"/>
      <c r="AA248" s="30"/>
      <c r="AB248" s="34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</row>
    <row r="249" spans="1:41" s="39" customFormat="1" ht="18.75" customHeight="1">
      <c r="A249" s="32">
        <v>30</v>
      </c>
      <c r="B249" s="136"/>
      <c r="C249" s="20" t="str">
        <f>IF(A249="","VARA",VLOOKUP(A249,'[1]varas'!$A$4:$B$67,2))</f>
        <v>3ª VT Caruaru</v>
      </c>
      <c r="D249" s="15"/>
      <c r="E249" s="16"/>
      <c r="F249" s="15">
        <v>0</v>
      </c>
      <c r="G249" s="15">
        <v>13</v>
      </c>
      <c r="H249" s="15">
        <v>0</v>
      </c>
      <c r="I249" s="17">
        <f>SUM(F249:H249)</f>
        <v>13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15">
        <f>SUM(J249:O249)</f>
        <v>0</v>
      </c>
      <c r="Q249" s="15">
        <v>13</v>
      </c>
      <c r="R249" s="15">
        <v>0</v>
      </c>
      <c r="S249" s="15">
        <v>0</v>
      </c>
      <c r="T249" s="15">
        <v>0</v>
      </c>
      <c r="U249" s="15">
        <v>0</v>
      </c>
      <c r="V249" s="18"/>
      <c r="W249" s="18"/>
      <c r="X249" s="30"/>
      <c r="Y249" s="30"/>
      <c r="Z249" s="30"/>
      <c r="AA249" s="30"/>
      <c r="AB249" s="34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</row>
    <row r="250" spans="1:41" s="53" customFormat="1" ht="18.75" customHeight="1">
      <c r="A250" s="47"/>
      <c r="B250" s="130"/>
      <c r="C250" s="20" t="s">
        <v>12</v>
      </c>
      <c r="D250" s="24"/>
      <c r="E250" s="48"/>
      <c r="F250" s="24">
        <f>SUM(F246:F249)</f>
        <v>10</v>
      </c>
      <c r="G250" s="24">
        <f>SUM(G246:G249)</f>
        <v>13</v>
      </c>
      <c r="H250" s="24">
        <f>SUM(H246:H249)</f>
        <v>1</v>
      </c>
      <c r="I250" s="40">
        <f>SUM(F250:H250)</f>
        <v>24</v>
      </c>
      <c r="J250" s="24">
        <f aca="true" t="shared" si="73" ref="J250:O250">SUM(J246:J249)</f>
        <v>7</v>
      </c>
      <c r="K250" s="24">
        <f t="shared" si="73"/>
        <v>0</v>
      </c>
      <c r="L250" s="24">
        <f t="shared" si="73"/>
        <v>0</v>
      </c>
      <c r="M250" s="24">
        <f t="shared" si="73"/>
        <v>1</v>
      </c>
      <c r="N250" s="24">
        <f t="shared" si="73"/>
        <v>0</v>
      </c>
      <c r="O250" s="24">
        <f t="shared" si="73"/>
        <v>0</v>
      </c>
      <c r="P250" s="24">
        <f>SUM(J250:O250)</f>
        <v>8</v>
      </c>
      <c r="Q250" s="24">
        <f>SUM(Q246:Q249)</f>
        <v>16</v>
      </c>
      <c r="R250" s="24">
        <f>SUM(R246:R249)</f>
        <v>0</v>
      </c>
      <c r="S250" s="24">
        <f>SUM(S246:S249)</f>
        <v>0</v>
      </c>
      <c r="T250" s="24">
        <f>SUM(T246:T249)</f>
        <v>0</v>
      </c>
      <c r="U250" s="24">
        <f>SUM(U246:U249)</f>
        <v>0</v>
      </c>
      <c r="V250" s="26">
        <f>IF(I250-Q250=0,"",IF(D250="",(P250+S250)/(I250-Q250),IF(AND(D250&lt;&gt;"",(P250+S250)/(I250-Q250)&gt;=50%),(P250+S250)/(I250-Q250),"")))</f>
        <v>1</v>
      </c>
      <c r="W250" s="26">
        <f>IF(I250=O250,"",IF(V250="",0,(P250+Q250+S250-O250)/(I250-O250)))</f>
        <v>1</v>
      </c>
      <c r="X250" s="49"/>
      <c r="Y250" s="49"/>
      <c r="Z250" s="49"/>
      <c r="AA250" s="49"/>
      <c r="AB250" s="50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</row>
    <row r="251" spans="1:41" s="39" customFormat="1" ht="21.75" customHeight="1">
      <c r="A251" s="32"/>
      <c r="B251" s="137" t="s">
        <v>87</v>
      </c>
      <c r="C251" s="105" t="s">
        <v>158</v>
      </c>
      <c r="D251" s="29" t="s">
        <v>30</v>
      </c>
      <c r="E251" s="16" t="s">
        <v>208</v>
      </c>
      <c r="F251" s="15"/>
      <c r="G251" s="15"/>
      <c r="H251" s="15"/>
      <c r="I251" s="17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8"/>
      <c r="W251" s="18"/>
      <c r="X251" s="30"/>
      <c r="Y251" s="30"/>
      <c r="Z251" s="30"/>
      <c r="AA251" s="30"/>
      <c r="AB251" s="34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</row>
    <row r="252" spans="1:41" s="39" customFormat="1" ht="18" customHeight="1">
      <c r="A252" s="32">
        <v>61</v>
      </c>
      <c r="B252" s="138"/>
      <c r="C252" s="106" t="str">
        <f>IF(A252="","VARA",VLOOKUP(A252,'[1]varas'!$A$4:$B$67,2))</f>
        <v>VT Vitória</v>
      </c>
      <c r="D252" s="15"/>
      <c r="E252" s="16"/>
      <c r="F252" s="15">
        <v>4</v>
      </c>
      <c r="G252" s="15">
        <v>4</v>
      </c>
      <c r="H252" s="15">
        <v>0</v>
      </c>
      <c r="I252" s="17">
        <f>SUM(F252:H252)</f>
        <v>8</v>
      </c>
      <c r="J252" s="15">
        <v>4</v>
      </c>
      <c r="K252" s="15">
        <v>1</v>
      </c>
      <c r="L252" s="15">
        <v>2</v>
      </c>
      <c r="M252" s="15">
        <v>1</v>
      </c>
      <c r="N252" s="15">
        <v>0</v>
      </c>
      <c r="O252" s="15">
        <v>0</v>
      </c>
      <c r="P252" s="15">
        <f>SUM(J252:O252)</f>
        <v>8</v>
      </c>
      <c r="Q252" s="15">
        <v>0</v>
      </c>
      <c r="R252" s="15">
        <v>0</v>
      </c>
      <c r="S252" s="15">
        <v>0</v>
      </c>
      <c r="T252" s="15">
        <v>0</v>
      </c>
      <c r="U252" s="15">
        <v>0</v>
      </c>
      <c r="V252" s="18"/>
      <c r="W252" s="18"/>
      <c r="X252" s="30"/>
      <c r="Y252" s="30"/>
      <c r="Z252" s="30"/>
      <c r="AA252" s="30"/>
      <c r="AB252" s="34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</row>
    <row r="253" spans="1:41" s="53" customFormat="1" ht="18.75" customHeight="1">
      <c r="A253" s="47"/>
      <c r="B253" s="133"/>
      <c r="C253" s="106" t="s">
        <v>12</v>
      </c>
      <c r="D253" s="24"/>
      <c r="E253" s="48"/>
      <c r="F253" s="24">
        <f>SUM(F251:F252)</f>
        <v>4</v>
      </c>
      <c r="G253" s="24">
        <f>SUM(G251:G252)</f>
        <v>4</v>
      </c>
      <c r="H253" s="24">
        <f>SUM(H251:H252)</f>
        <v>0</v>
      </c>
      <c r="I253" s="40">
        <f>SUM(F253:H253)</f>
        <v>8</v>
      </c>
      <c r="J253" s="24">
        <f aca="true" t="shared" si="74" ref="J253:O253">SUM(J251:J252)</f>
        <v>4</v>
      </c>
      <c r="K253" s="24">
        <f t="shared" si="74"/>
        <v>1</v>
      </c>
      <c r="L253" s="24">
        <f t="shared" si="74"/>
        <v>2</v>
      </c>
      <c r="M253" s="24">
        <f t="shared" si="74"/>
        <v>1</v>
      </c>
      <c r="N253" s="24">
        <f t="shared" si="74"/>
        <v>0</v>
      </c>
      <c r="O253" s="24">
        <f t="shared" si="74"/>
        <v>0</v>
      </c>
      <c r="P253" s="24">
        <f>SUM(J253:O253)</f>
        <v>8</v>
      </c>
      <c r="Q253" s="24">
        <f>SUM(Q251:Q252)</f>
        <v>0</v>
      </c>
      <c r="R253" s="24">
        <f>SUM(R251:R252)</f>
        <v>0</v>
      </c>
      <c r="S253" s="24">
        <f>SUM(S251:S252)</f>
        <v>0</v>
      </c>
      <c r="T253" s="24">
        <f>SUM(T251:T252)</f>
        <v>0</v>
      </c>
      <c r="U253" s="24">
        <f>SUM(U251:U252)</f>
        <v>0</v>
      </c>
      <c r="V253" s="26">
        <f>IF(I253-Q253=0,"",IF(D253="",(P253+S253)/(I253-Q253),IF(AND(D253&lt;&gt;"",(P253+S253)/(I253-Q253)&gt;=50%),(P253+S253)/(I253-Q253),"")))</f>
        <v>1</v>
      </c>
      <c r="W253" s="26">
        <f>IF(I253=O253,"",IF(V253="",0,(P253+Q253+S253-O253)/(I253-O253)))</f>
        <v>1</v>
      </c>
      <c r="X253" s="49"/>
      <c r="Y253" s="49"/>
      <c r="Z253" s="49"/>
      <c r="AA253" s="49"/>
      <c r="AB253" s="50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</row>
    <row r="254" spans="1:41" s="39" customFormat="1" ht="24" customHeight="1">
      <c r="A254" s="32"/>
      <c r="B254" s="137" t="s">
        <v>88</v>
      </c>
      <c r="C254" s="105" t="s">
        <v>2</v>
      </c>
      <c r="D254" s="29"/>
      <c r="E254" s="16" t="s">
        <v>27</v>
      </c>
      <c r="F254" s="15"/>
      <c r="G254" s="15"/>
      <c r="H254" s="15"/>
      <c r="I254" s="17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8"/>
      <c r="W254" s="18"/>
      <c r="X254" s="30"/>
      <c r="Y254" s="30"/>
      <c r="Z254" s="30"/>
      <c r="AA254" s="30"/>
      <c r="AB254" s="34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</row>
    <row r="255" spans="1:41" s="39" customFormat="1" ht="24" customHeight="1">
      <c r="A255" s="32">
        <v>58</v>
      </c>
      <c r="B255" s="138"/>
      <c r="C255" s="106" t="str">
        <f>IF(A255="","VARA",VLOOKUP(A255,'[1]varas'!$A$4:$B$67,2))</f>
        <v>VT S.Talhada</v>
      </c>
      <c r="D255" s="29"/>
      <c r="E255" s="16"/>
      <c r="F255" s="15">
        <v>17</v>
      </c>
      <c r="G255" s="15">
        <v>11</v>
      </c>
      <c r="H255" s="15">
        <v>0</v>
      </c>
      <c r="I255" s="17">
        <f>SUM(F255:H255)</f>
        <v>28</v>
      </c>
      <c r="J255" s="15">
        <v>13</v>
      </c>
      <c r="K255" s="15">
        <v>7</v>
      </c>
      <c r="L255" s="15">
        <v>0</v>
      </c>
      <c r="M255" s="15">
        <v>0</v>
      </c>
      <c r="N255" s="15">
        <v>0</v>
      </c>
      <c r="O255" s="15">
        <v>8</v>
      </c>
      <c r="P255" s="15">
        <f>SUM(J255:O255)</f>
        <v>28</v>
      </c>
      <c r="Q255" s="15">
        <v>0</v>
      </c>
      <c r="R255" s="15">
        <v>0</v>
      </c>
      <c r="S255" s="15">
        <v>0</v>
      </c>
      <c r="T255" s="15">
        <v>0</v>
      </c>
      <c r="U255" s="15">
        <v>35</v>
      </c>
      <c r="V255" s="18"/>
      <c r="W255" s="18"/>
      <c r="X255" s="30"/>
      <c r="Y255" s="30"/>
      <c r="Z255" s="30"/>
      <c r="AA255" s="30"/>
      <c r="AB255" s="34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</row>
    <row r="256" spans="1:41" s="39" customFormat="1" ht="21" customHeight="1">
      <c r="A256" s="32">
        <v>24</v>
      </c>
      <c r="B256" s="138"/>
      <c r="C256" s="106" t="str">
        <f>IF(A256="","VARA",VLOOKUP(A256,'[1]varas'!$A$4:$B$67,2))</f>
        <v>1ª VT Barreiros</v>
      </c>
      <c r="D256" s="29"/>
      <c r="E256" s="16"/>
      <c r="F256" s="15">
        <f>34+21+15+4</f>
        <v>74</v>
      </c>
      <c r="G256" s="15">
        <v>0</v>
      </c>
      <c r="H256" s="15">
        <v>0</v>
      </c>
      <c r="I256" s="17">
        <f>SUM(F256:H256)</f>
        <v>74</v>
      </c>
      <c r="J256" s="15">
        <v>16</v>
      </c>
      <c r="K256" s="15">
        <v>12</v>
      </c>
      <c r="L256" s="15">
        <v>15</v>
      </c>
      <c r="M256" s="15">
        <v>4</v>
      </c>
      <c r="N256" s="15">
        <v>0</v>
      </c>
      <c r="O256" s="15">
        <v>21</v>
      </c>
      <c r="P256" s="15">
        <f>SUM(J256:O256)</f>
        <v>68</v>
      </c>
      <c r="Q256" s="15">
        <v>6</v>
      </c>
      <c r="R256" s="15">
        <v>0</v>
      </c>
      <c r="S256" s="15">
        <v>0</v>
      </c>
      <c r="T256" s="15">
        <v>0</v>
      </c>
      <c r="U256" s="15">
        <v>82</v>
      </c>
      <c r="V256" s="18"/>
      <c r="W256" s="18"/>
      <c r="X256" s="30"/>
      <c r="Y256" s="30"/>
      <c r="Z256" s="30"/>
      <c r="AA256" s="30"/>
      <c r="AB256" s="34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</row>
    <row r="257" spans="1:41" s="39" customFormat="1" ht="22.5" customHeight="1">
      <c r="A257" s="32"/>
      <c r="B257" s="133"/>
      <c r="C257" s="107" t="s">
        <v>12</v>
      </c>
      <c r="D257" s="33"/>
      <c r="E257" s="23"/>
      <c r="F257" s="24">
        <f>SUM(F254:F256)</f>
        <v>91</v>
      </c>
      <c r="G257" s="24">
        <f>SUM(G254:G256)</f>
        <v>11</v>
      </c>
      <c r="H257" s="24">
        <f>SUM(H254:H256)</f>
        <v>0</v>
      </c>
      <c r="I257" s="40">
        <f>SUM(F257:H257)</f>
        <v>102</v>
      </c>
      <c r="J257" s="24">
        <f aca="true" t="shared" si="75" ref="J257:O257">SUM(J254:J256)</f>
        <v>29</v>
      </c>
      <c r="K257" s="24">
        <f t="shared" si="75"/>
        <v>19</v>
      </c>
      <c r="L257" s="24">
        <f t="shared" si="75"/>
        <v>15</v>
      </c>
      <c r="M257" s="24">
        <f t="shared" si="75"/>
        <v>4</v>
      </c>
      <c r="N257" s="24">
        <f t="shared" si="75"/>
        <v>0</v>
      </c>
      <c r="O257" s="24">
        <f t="shared" si="75"/>
        <v>29</v>
      </c>
      <c r="P257" s="24">
        <f>SUM(J257:O257)</f>
        <v>96</v>
      </c>
      <c r="Q257" s="24">
        <f>SUM(Q254:Q256)</f>
        <v>6</v>
      </c>
      <c r="R257" s="24">
        <f>SUM(R254:R256)</f>
        <v>0</v>
      </c>
      <c r="S257" s="24">
        <f>SUM(S254:S256)</f>
        <v>0</v>
      </c>
      <c r="T257" s="24">
        <f>SUM(T254:T256)</f>
        <v>0</v>
      </c>
      <c r="U257" s="24">
        <f>SUM(U254:U256)</f>
        <v>117</v>
      </c>
      <c r="V257" s="26">
        <f>IF(I257-Q257=0,"",IF(D257="",(P257+S257)/(I257-Q257),IF(AND(D257&lt;&gt;"",(P257+S257)/(I257-Q257)&gt;=50%),(P257+S257)/(I257-Q257),"")))</f>
        <v>1</v>
      </c>
      <c r="W257" s="26">
        <f>IF(I257=O257,"",IF(V257="",0,(P257+Q257+S257-O257)/(I257-O257)))</f>
        <v>1</v>
      </c>
      <c r="X257" s="30"/>
      <c r="Y257" s="30"/>
      <c r="Z257" s="30"/>
      <c r="AA257" s="30"/>
      <c r="AB257" s="34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</row>
    <row r="258" spans="1:41" s="39" customFormat="1" ht="24.75" customHeight="1">
      <c r="A258" s="32"/>
      <c r="B258" s="129" t="s">
        <v>89</v>
      </c>
      <c r="C258" s="14" t="s">
        <v>2</v>
      </c>
      <c r="D258" s="29"/>
      <c r="E258" s="16" t="s">
        <v>27</v>
      </c>
      <c r="F258" s="15"/>
      <c r="G258" s="15"/>
      <c r="H258" s="15"/>
      <c r="I258" s="17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8"/>
      <c r="W258" s="18"/>
      <c r="X258" s="30"/>
      <c r="Y258" s="30"/>
      <c r="Z258" s="30"/>
      <c r="AA258" s="30"/>
      <c r="AB258" s="34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</row>
    <row r="259" spans="1:41" s="39" customFormat="1" ht="19.5" customHeight="1">
      <c r="A259" s="32">
        <v>46</v>
      </c>
      <c r="B259" s="136"/>
      <c r="C259" s="20" t="str">
        <f>IF(A259="","VARA",VLOOKUP(A259,'[1]varas'!$A$4:$B$67,2))</f>
        <v>VT Belo Jardim</v>
      </c>
      <c r="D259" s="15"/>
      <c r="E259" s="16"/>
      <c r="F259" s="15">
        <f>37+12</f>
        <v>49</v>
      </c>
      <c r="G259" s="15">
        <v>0</v>
      </c>
      <c r="H259" s="15">
        <v>0</v>
      </c>
      <c r="I259" s="17">
        <f>SUM(F259:H259)</f>
        <v>49</v>
      </c>
      <c r="J259" s="15">
        <v>19</v>
      </c>
      <c r="K259" s="15">
        <v>18</v>
      </c>
      <c r="L259" s="15">
        <v>1</v>
      </c>
      <c r="M259" s="15">
        <v>0</v>
      </c>
      <c r="N259" s="15">
        <v>0</v>
      </c>
      <c r="O259" s="15">
        <v>11</v>
      </c>
      <c r="P259" s="15">
        <f>SUM(J259:O259)</f>
        <v>49</v>
      </c>
      <c r="Q259" s="15">
        <v>0</v>
      </c>
      <c r="R259" s="15">
        <v>0</v>
      </c>
      <c r="S259" s="15">
        <v>0</v>
      </c>
      <c r="T259" s="15">
        <v>0</v>
      </c>
      <c r="U259" s="15">
        <v>95</v>
      </c>
      <c r="V259" s="18"/>
      <c r="W259" s="18"/>
      <c r="X259" s="30"/>
      <c r="Y259" s="30"/>
      <c r="Z259" s="30"/>
      <c r="AA259" s="30"/>
      <c r="AB259" s="34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</row>
    <row r="260" spans="1:41" s="53" customFormat="1" ht="17.25" customHeight="1">
      <c r="A260" s="47"/>
      <c r="B260" s="130"/>
      <c r="C260" s="21" t="s">
        <v>12</v>
      </c>
      <c r="D260" s="51"/>
      <c r="E260" s="52"/>
      <c r="F260" s="24">
        <f>SUM(F258:F259)</f>
        <v>49</v>
      </c>
      <c r="G260" s="24">
        <f>SUM(G258:G259)</f>
        <v>0</v>
      </c>
      <c r="H260" s="24">
        <f>SUM(H258:H259)</f>
        <v>0</v>
      </c>
      <c r="I260" s="25">
        <f>SUM(F260:H260)</f>
        <v>49</v>
      </c>
      <c r="J260" s="24">
        <f aca="true" t="shared" si="76" ref="J260:O260">SUM(J258:J259)</f>
        <v>19</v>
      </c>
      <c r="K260" s="24">
        <f t="shared" si="76"/>
        <v>18</v>
      </c>
      <c r="L260" s="24">
        <f t="shared" si="76"/>
        <v>1</v>
      </c>
      <c r="M260" s="24">
        <f t="shared" si="76"/>
        <v>0</v>
      </c>
      <c r="N260" s="24">
        <f t="shared" si="76"/>
        <v>0</v>
      </c>
      <c r="O260" s="24">
        <f t="shared" si="76"/>
        <v>11</v>
      </c>
      <c r="P260" s="24">
        <f>SUM(J260:O260)</f>
        <v>49</v>
      </c>
      <c r="Q260" s="24">
        <f>SUM(Q258:Q259)</f>
        <v>0</v>
      </c>
      <c r="R260" s="24">
        <f>SUM(R258:R259)</f>
        <v>0</v>
      </c>
      <c r="S260" s="24">
        <f>SUM(S258:S259)</f>
        <v>0</v>
      </c>
      <c r="T260" s="24">
        <f>SUM(T258:T259)</f>
        <v>0</v>
      </c>
      <c r="U260" s="24">
        <f>SUM(U258:U259)</f>
        <v>95</v>
      </c>
      <c r="V260" s="26">
        <f>IF(I260-Q260=0,"",IF(D260="",(P260+S260)/(I260-Q260),IF(AND(D260&lt;&gt;"",(P260+S260)/(I260-Q260)&gt;=50%),(P260+S260)/(I260-Q260),"")))</f>
        <v>1</v>
      </c>
      <c r="W260" s="26">
        <f>IF(I260=O260,"",IF(V260="",0,(P260+Q260+S260-O260)/(I260-O260)))</f>
        <v>1</v>
      </c>
      <c r="X260" s="49"/>
      <c r="Y260" s="49"/>
      <c r="Z260" s="49"/>
      <c r="AA260" s="49"/>
      <c r="AB260" s="50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</row>
    <row r="261" spans="1:41" s="39" customFormat="1" ht="31.5" customHeight="1">
      <c r="A261" s="32"/>
      <c r="B261" s="137" t="s">
        <v>90</v>
      </c>
      <c r="C261" s="105" t="s">
        <v>2</v>
      </c>
      <c r="D261" s="29" t="s">
        <v>229</v>
      </c>
      <c r="E261" s="16" t="s">
        <v>230</v>
      </c>
      <c r="F261" s="15"/>
      <c r="G261" s="15"/>
      <c r="H261" s="15"/>
      <c r="I261" s="17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8"/>
      <c r="W261" s="18"/>
      <c r="X261" s="30"/>
      <c r="Y261" s="30"/>
      <c r="Z261" s="30"/>
      <c r="AA261" s="30"/>
      <c r="AB261" s="34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</row>
    <row r="262" spans="1:41" s="39" customFormat="1" ht="21.75" customHeight="1">
      <c r="A262" s="32">
        <v>15</v>
      </c>
      <c r="B262" s="138"/>
      <c r="C262" s="106" t="str">
        <f>IF(A262="","VARA",VLOOKUP(A262,'[1]varas'!$A$4:$B$67,2))</f>
        <v>15ª VT Recife</v>
      </c>
      <c r="D262" s="15"/>
      <c r="E262" s="16"/>
      <c r="F262" s="15">
        <f>18+22+14</f>
        <v>54</v>
      </c>
      <c r="G262" s="15">
        <v>0</v>
      </c>
      <c r="H262" s="15">
        <v>1</v>
      </c>
      <c r="I262" s="17">
        <f>SUM(F262:H262)</f>
        <v>55</v>
      </c>
      <c r="J262" s="15">
        <v>12</v>
      </c>
      <c r="K262" s="15">
        <v>3</v>
      </c>
      <c r="L262" s="15">
        <v>14</v>
      </c>
      <c r="M262" s="15">
        <v>0</v>
      </c>
      <c r="N262" s="15">
        <v>0</v>
      </c>
      <c r="O262" s="15">
        <v>22</v>
      </c>
      <c r="P262" s="15">
        <f>SUM(J262:O262)</f>
        <v>51</v>
      </c>
      <c r="Q262" s="15">
        <v>4</v>
      </c>
      <c r="R262" s="15">
        <v>0</v>
      </c>
      <c r="S262" s="15">
        <v>0</v>
      </c>
      <c r="T262" s="15">
        <v>0</v>
      </c>
      <c r="U262" s="15">
        <v>82</v>
      </c>
      <c r="V262" s="18"/>
      <c r="W262" s="18"/>
      <c r="X262" s="30"/>
      <c r="Y262" s="30"/>
      <c r="Z262" s="30"/>
      <c r="AA262" s="30"/>
      <c r="AB262" s="34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</row>
    <row r="263" spans="1:41" s="39" customFormat="1" ht="18.75" customHeight="1">
      <c r="A263" s="32"/>
      <c r="B263" s="133"/>
      <c r="C263" s="107" t="s">
        <v>12</v>
      </c>
      <c r="D263" s="33"/>
      <c r="E263" s="23"/>
      <c r="F263" s="24">
        <f>SUM(F261:F262)</f>
        <v>54</v>
      </c>
      <c r="G263" s="24">
        <f>SUM(G261:G262)</f>
        <v>0</v>
      </c>
      <c r="H263" s="24">
        <f>SUM(H261:H262)</f>
        <v>1</v>
      </c>
      <c r="I263" s="40">
        <f>SUM(F263:H263)</f>
        <v>55</v>
      </c>
      <c r="J263" s="24">
        <f aca="true" t="shared" si="77" ref="J263:O263">SUM(J261:J262)</f>
        <v>12</v>
      </c>
      <c r="K263" s="24">
        <f t="shared" si="77"/>
        <v>3</v>
      </c>
      <c r="L263" s="24">
        <f t="shared" si="77"/>
        <v>14</v>
      </c>
      <c r="M263" s="24">
        <f t="shared" si="77"/>
        <v>0</v>
      </c>
      <c r="N263" s="24">
        <f t="shared" si="77"/>
        <v>0</v>
      </c>
      <c r="O263" s="24">
        <f t="shared" si="77"/>
        <v>22</v>
      </c>
      <c r="P263" s="24">
        <f>SUM(J263:O263)</f>
        <v>51</v>
      </c>
      <c r="Q263" s="24">
        <f>SUM(Q261:Q262)</f>
        <v>4</v>
      </c>
      <c r="R263" s="24">
        <f>SUM(R261:R262)</f>
        <v>0</v>
      </c>
      <c r="S263" s="24">
        <f>SUM(S261:S262)</f>
        <v>0</v>
      </c>
      <c r="T263" s="24">
        <f>SUM(T261:T262)</f>
        <v>0</v>
      </c>
      <c r="U263" s="24">
        <f>SUM(U261:U262)</f>
        <v>82</v>
      </c>
      <c r="V263" s="26">
        <f>IF(I263-Q263=0,"",IF(D263="",(P263+S263)/(I263-Q263),IF(AND(D263&lt;&gt;"",(P263+S263)/(I263-Q263)&gt;=50%),(P263+S263)/(I263-Q263),"")))</f>
        <v>1</v>
      </c>
      <c r="W263" s="26">
        <f>IF(I263=O263,"",IF(V263="",0,(P263+Q263+S263-O263)/(I263-O263)))</f>
        <v>1</v>
      </c>
      <c r="X263" s="30"/>
      <c r="Y263" s="30"/>
      <c r="Z263" s="30"/>
      <c r="AA263" s="30"/>
      <c r="AB263" s="34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</row>
    <row r="264" spans="1:41" s="39" customFormat="1" ht="24" customHeight="1">
      <c r="A264" s="32"/>
      <c r="B264" s="137" t="s">
        <v>91</v>
      </c>
      <c r="C264" s="105" t="s">
        <v>2</v>
      </c>
      <c r="D264" s="15"/>
      <c r="E264" s="16" t="s">
        <v>27</v>
      </c>
      <c r="F264" s="15"/>
      <c r="G264" s="15"/>
      <c r="H264" s="15"/>
      <c r="I264" s="17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8"/>
      <c r="W264" s="18"/>
      <c r="X264" s="30"/>
      <c r="Y264" s="30"/>
      <c r="Z264" s="30"/>
      <c r="AA264" s="30"/>
      <c r="AB264" s="34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</row>
    <row r="265" spans="1:41" s="39" customFormat="1" ht="22.5" customHeight="1">
      <c r="A265" s="32">
        <v>41</v>
      </c>
      <c r="B265" s="138"/>
      <c r="C265" s="106" t="str">
        <f>IF(A265="","VARA",VLOOKUP(A265,'[1]varas'!$A$4:$B$67,2))</f>
        <v>1ª VT Paulista</v>
      </c>
      <c r="D265" s="15"/>
      <c r="E265" s="16"/>
      <c r="F265" s="15">
        <v>35</v>
      </c>
      <c r="G265" s="15">
        <v>5</v>
      </c>
      <c r="H265" s="15">
        <v>18</v>
      </c>
      <c r="I265" s="17">
        <f>SUM(F265:H265)</f>
        <v>58</v>
      </c>
      <c r="J265" s="15">
        <v>20</v>
      </c>
      <c r="K265" s="15">
        <v>0</v>
      </c>
      <c r="L265" s="15">
        <v>1</v>
      </c>
      <c r="M265" s="15">
        <v>0</v>
      </c>
      <c r="N265" s="15">
        <v>0</v>
      </c>
      <c r="O265" s="15">
        <v>33</v>
      </c>
      <c r="P265" s="15">
        <f>SUM(J265:O265)</f>
        <v>54</v>
      </c>
      <c r="Q265" s="15">
        <v>4</v>
      </c>
      <c r="R265" s="15">
        <v>0</v>
      </c>
      <c r="S265" s="15">
        <v>0</v>
      </c>
      <c r="T265" s="15">
        <v>0</v>
      </c>
      <c r="U265" s="15">
        <v>115</v>
      </c>
      <c r="V265" s="18"/>
      <c r="W265" s="18"/>
      <c r="X265" s="30"/>
      <c r="Y265" s="30"/>
      <c r="Z265" s="30"/>
      <c r="AA265" s="30"/>
      <c r="AB265" s="34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</row>
    <row r="266" spans="1:41" s="53" customFormat="1" ht="24.75" customHeight="1">
      <c r="A266" s="47"/>
      <c r="B266" s="133"/>
      <c r="C266" s="107" t="s">
        <v>12</v>
      </c>
      <c r="D266" s="51"/>
      <c r="E266" s="52"/>
      <c r="F266" s="24">
        <f>SUM(F264:F265)</f>
        <v>35</v>
      </c>
      <c r="G266" s="24">
        <f>SUM(G264:G265)</f>
        <v>5</v>
      </c>
      <c r="H266" s="24">
        <f>SUM(H264:H265)</f>
        <v>18</v>
      </c>
      <c r="I266" s="25">
        <f>SUM(F266:H266)</f>
        <v>58</v>
      </c>
      <c r="J266" s="24">
        <f aca="true" t="shared" si="78" ref="J266:O266">SUM(J264:J265)</f>
        <v>20</v>
      </c>
      <c r="K266" s="24">
        <f t="shared" si="78"/>
        <v>0</v>
      </c>
      <c r="L266" s="24">
        <f t="shared" si="78"/>
        <v>1</v>
      </c>
      <c r="M266" s="24">
        <f t="shared" si="78"/>
        <v>0</v>
      </c>
      <c r="N266" s="24">
        <f t="shared" si="78"/>
        <v>0</v>
      </c>
      <c r="O266" s="24">
        <f t="shared" si="78"/>
        <v>33</v>
      </c>
      <c r="P266" s="24">
        <f>SUM(J266:O266)</f>
        <v>54</v>
      </c>
      <c r="Q266" s="24">
        <f>SUM(Q264:Q265)</f>
        <v>4</v>
      </c>
      <c r="R266" s="24">
        <f>SUM(R264:R265)</f>
        <v>0</v>
      </c>
      <c r="S266" s="24">
        <f>SUM(S264:S265)</f>
        <v>0</v>
      </c>
      <c r="T266" s="24">
        <f>SUM(T264:T265)</f>
        <v>0</v>
      </c>
      <c r="U266" s="24">
        <f>SUM(U264:U265)</f>
        <v>115</v>
      </c>
      <c r="V266" s="26">
        <f>IF(I266-Q266=0,"",IF(D266="",(P266+S266)/(I266-Q266),IF(AND(D266&lt;&gt;"",(P266+S266)/(I266-Q266)&gt;=50%),(P266+S266)/(I266-Q266),"")))</f>
        <v>1</v>
      </c>
      <c r="W266" s="26">
        <f>IF(I266=O266,"",IF(V266="",0,(P266+Q266+S266-O266)/(I266-O266)))</f>
        <v>1</v>
      </c>
      <c r="X266" s="49"/>
      <c r="Y266" s="49"/>
      <c r="Z266" s="49"/>
      <c r="AA266" s="49"/>
      <c r="AB266" s="50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</row>
    <row r="267" spans="1:41" s="39" customFormat="1" ht="23.25" customHeight="1">
      <c r="A267" s="32"/>
      <c r="B267" s="129" t="s">
        <v>92</v>
      </c>
      <c r="C267" s="14" t="s">
        <v>2</v>
      </c>
      <c r="D267" s="29"/>
      <c r="E267" s="16" t="s">
        <v>27</v>
      </c>
      <c r="F267" s="15"/>
      <c r="G267" s="15"/>
      <c r="H267" s="15"/>
      <c r="I267" s="17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8"/>
      <c r="W267" s="18"/>
      <c r="X267" s="30"/>
      <c r="Y267" s="30"/>
      <c r="Z267" s="30"/>
      <c r="AA267" s="30"/>
      <c r="AB267" s="34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</row>
    <row r="268" spans="1:41" s="39" customFormat="1" ht="21" customHeight="1">
      <c r="A268" s="32">
        <v>42</v>
      </c>
      <c r="B268" s="136"/>
      <c r="C268" s="20" t="str">
        <f>IF(A268="","VARA",VLOOKUP(A268,'[1]varas'!$A$4:$B$67,2))</f>
        <v>2ª VT Paulista</v>
      </c>
      <c r="D268" s="15"/>
      <c r="E268" s="16"/>
      <c r="F268" s="15">
        <f>61+35+4</f>
        <v>100</v>
      </c>
      <c r="G268" s="15">
        <v>2</v>
      </c>
      <c r="H268" s="15">
        <v>0</v>
      </c>
      <c r="I268" s="17">
        <f>SUM(F268:H268)</f>
        <v>102</v>
      </c>
      <c r="J268" s="15">
        <v>43</v>
      </c>
      <c r="K268" s="15">
        <v>14</v>
      </c>
      <c r="L268" s="15">
        <v>2</v>
      </c>
      <c r="M268" s="15">
        <v>2</v>
      </c>
      <c r="N268" s="15">
        <v>0</v>
      </c>
      <c r="O268" s="15">
        <v>35</v>
      </c>
      <c r="P268" s="15">
        <f>SUM(J268:O268)</f>
        <v>96</v>
      </c>
      <c r="Q268" s="15">
        <v>3</v>
      </c>
      <c r="R268" s="15">
        <v>0</v>
      </c>
      <c r="S268" s="15">
        <v>0</v>
      </c>
      <c r="T268" s="15">
        <v>3</v>
      </c>
      <c r="U268" s="15">
        <v>133</v>
      </c>
      <c r="V268" s="18"/>
      <c r="W268" s="18"/>
      <c r="X268" s="30"/>
      <c r="Y268" s="30"/>
      <c r="Z268" s="30"/>
      <c r="AA268" s="30"/>
      <c r="AB268" s="34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</row>
    <row r="269" spans="1:41" s="53" customFormat="1" ht="18.75" customHeight="1">
      <c r="A269" s="47"/>
      <c r="B269" s="130"/>
      <c r="C269" s="21" t="s">
        <v>12</v>
      </c>
      <c r="D269" s="51"/>
      <c r="E269" s="52"/>
      <c r="F269" s="24">
        <f>SUM(F267:F268)</f>
        <v>100</v>
      </c>
      <c r="G269" s="24">
        <f>SUM(G267:G268)</f>
        <v>2</v>
      </c>
      <c r="H269" s="24">
        <f>SUM(H267:H268)</f>
        <v>0</v>
      </c>
      <c r="I269" s="25">
        <f>SUM(F269:H269)</f>
        <v>102</v>
      </c>
      <c r="J269" s="24">
        <f aca="true" t="shared" si="79" ref="J269:O269">SUM(J267:J268)</f>
        <v>43</v>
      </c>
      <c r="K269" s="24">
        <f t="shared" si="79"/>
        <v>14</v>
      </c>
      <c r="L269" s="24">
        <f t="shared" si="79"/>
        <v>2</v>
      </c>
      <c r="M269" s="24">
        <f t="shared" si="79"/>
        <v>2</v>
      </c>
      <c r="N269" s="24">
        <f t="shared" si="79"/>
        <v>0</v>
      </c>
      <c r="O269" s="24">
        <f t="shared" si="79"/>
        <v>35</v>
      </c>
      <c r="P269" s="24">
        <f>SUM(J269:O269)</f>
        <v>96</v>
      </c>
      <c r="Q269" s="24">
        <f>SUM(Q267:Q268)</f>
        <v>3</v>
      </c>
      <c r="R269" s="24">
        <f>SUM(R267:R268)</f>
        <v>0</v>
      </c>
      <c r="S269" s="24">
        <f>SUM(S267:S268)</f>
        <v>0</v>
      </c>
      <c r="T269" s="24">
        <f>SUM(T267:T268)</f>
        <v>3</v>
      </c>
      <c r="U269" s="24">
        <f>SUM(U267:U268)</f>
        <v>133</v>
      </c>
      <c r="V269" s="26">
        <f>IF(I269-Q269=0,"",IF(D269="",(P269+S269)/(I269-Q269),IF(AND(D269&lt;&gt;"",(P269+S269)/(I269-Q269)&gt;=50%),(P269+S269)/(I269-Q269),"")))</f>
        <v>0.9696969696969697</v>
      </c>
      <c r="W269" s="26">
        <f>IF(I269=O269,"",IF(V269="",0,(P269+Q269+S269-O269)/(I269-O269)))</f>
        <v>0.9552238805970149</v>
      </c>
      <c r="X269" s="49"/>
      <c r="Y269" s="49"/>
      <c r="Z269" s="49"/>
      <c r="AA269" s="49"/>
      <c r="AB269" s="50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  <c r="AM269" s="49"/>
      <c r="AN269" s="49"/>
      <c r="AO269" s="49"/>
    </row>
    <row r="270" spans="1:41" s="39" customFormat="1" ht="28.5" customHeight="1">
      <c r="A270" s="32"/>
      <c r="B270" s="131" t="s">
        <v>93</v>
      </c>
      <c r="C270" s="105" t="s">
        <v>2</v>
      </c>
      <c r="D270" s="29" t="s">
        <v>231</v>
      </c>
      <c r="E270" s="16" t="s">
        <v>232</v>
      </c>
      <c r="F270" s="15"/>
      <c r="G270" s="15"/>
      <c r="H270" s="15"/>
      <c r="I270" s="17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8"/>
      <c r="W270" s="18"/>
      <c r="X270" s="30"/>
      <c r="Y270" s="30"/>
      <c r="Z270" s="30"/>
      <c r="AA270" s="30"/>
      <c r="AB270" s="34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</row>
    <row r="271" spans="1:41" s="39" customFormat="1" ht="24" customHeight="1">
      <c r="A271" s="32">
        <v>47</v>
      </c>
      <c r="B271" s="132"/>
      <c r="C271" s="106" t="str">
        <f>IF(A271="","VARA",VLOOKUP(A271,'[1]varas'!$A$4:$B$67,2))</f>
        <v>VT Carpina</v>
      </c>
      <c r="D271" s="15"/>
      <c r="E271" s="16"/>
      <c r="F271" s="15">
        <v>16</v>
      </c>
      <c r="G271" s="15">
        <v>2</v>
      </c>
      <c r="H271" s="15">
        <v>0</v>
      </c>
      <c r="I271" s="17">
        <f>SUM(F271:H271)</f>
        <v>18</v>
      </c>
      <c r="J271" s="15">
        <v>2</v>
      </c>
      <c r="K271" s="15">
        <v>3</v>
      </c>
      <c r="L271" s="15">
        <v>0</v>
      </c>
      <c r="M271" s="15">
        <v>0</v>
      </c>
      <c r="N271" s="15">
        <v>0</v>
      </c>
      <c r="O271" s="15">
        <v>12</v>
      </c>
      <c r="P271" s="15">
        <f>SUM(J271:O271)</f>
        <v>17</v>
      </c>
      <c r="Q271" s="15">
        <v>1</v>
      </c>
      <c r="R271" s="15">
        <v>0</v>
      </c>
      <c r="S271" s="15">
        <v>0</v>
      </c>
      <c r="T271" s="15">
        <v>0</v>
      </c>
      <c r="U271" s="15">
        <v>31</v>
      </c>
      <c r="V271" s="18"/>
      <c r="W271" s="18"/>
      <c r="X271" s="30"/>
      <c r="Y271" s="30"/>
      <c r="Z271" s="30"/>
      <c r="AA271" s="30"/>
      <c r="AB271" s="34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</row>
    <row r="272" spans="1:41" s="53" customFormat="1" ht="18.75" customHeight="1">
      <c r="A272" s="47"/>
      <c r="B272" s="133"/>
      <c r="C272" s="107" t="s">
        <v>12</v>
      </c>
      <c r="D272" s="51"/>
      <c r="E272" s="52"/>
      <c r="F272" s="24">
        <f>SUM(F270:F271)</f>
        <v>16</v>
      </c>
      <c r="G272" s="24">
        <f>SUM(G270:G271)</f>
        <v>2</v>
      </c>
      <c r="H272" s="24">
        <f>SUM(H270:H271)</f>
        <v>0</v>
      </c>
      <c r="I272" s="25">
        <f>SUM(F272:H272)</f>
        <v>18</v>
      </c>
      <c r="J272" s="24">
        <f aca="true" t="shared" si="80" ref="J272:O272">SUM(J270:J271)</f>
        <v>2</v>
      </c>
      <c r="K272" s="24">
        <f t="shared" si="80"/>
        <v>3</v>
      </c>
      <c r="L272" s="24">
        <f t="shared" si="80"/>
        <v>0</v>
      </c>
      <c r="M272" s="24">
        <f t="shared" si="80"/>
        <v>0</v>
      </c>
      <c r="N272" s="24">
        <f t="shared" si="80"/>
        <v>0</v>
      </c>
      <c r="O272" s="24">
        <f t="shared" si="80"/>
        <v>12</v>
      </c>
      <c r="P272" s="24">
        <f>SUM(J272:O272)</f>
        <v>17</v>
      </c>
      <c r="Q272" s="24">
        <f>SUM(Q270:Q271)</f>
        <v>1</v>
      </c>
      <c r="R272" s="24">
        <f>SUM(R270:R271)</f>
        <v>0</v>
      </c>
      <c r="S272" s="24">
        <f>SUM(S270:S271)</f>
        <v>0</v>
      </c>
      <c r="T272" s="24">
        <f>SUM(T270:T271)</f>
        <v>0</v>
      </c>
      <c r="U272" s="24">
        <f>SUM(U270:U271)</f>
        <v>31</v>
      </c>
      <c r="V272" s="26">
        <f>IF(I272-Q272=0,"",IF(D272="",(P272+S272)/(I272-Q272),IF(AND(D272&lt;&gt;"",(P272+S272)/(I272-Q272)&gt;=50%),(P272+S272)/(I272-Q272),"")))</f>
        <v>1</v>
      </c>
      <c r="W272" s="26">
        <f>IF(I272=O272,"",IF(V272="",0,(P272+Q272+S272-O272)/(I272-O272)))</f>
        <v>1</v>
      </c>
      <c r="X272" s="49"/>
      <c r="Y272" s="49"/>
      <c r="Z272" s="49"/>
      <c r="AA272" s="49"/>
      <c r="AB272" s="50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  <c r="AN272" s="49"/>
      <c r="AO272" s="49"/>
    </row>
    <row r="273" spans="1:41" s="39" customFormat="1" ht="24.75" customHeight="1">
      <c r="A273" s="32"/>
      <c r="B273" s="129" t="s">
        <v>94</v>
      </c>
      <c r="C273" s="14" t="s">
        <v>2</v>
      </c>
      <c r="D273" s="29"/>
      <c r="E273" s="16" t="s">
        <v>27</v>
      </c>
      <c r="F273" s="15"/>
      <c r="G273" s="15"/>
      <c r="H273" s="15"/>
      <c r="I273" s="17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8"/>
      <c r="W273" s="18"/>
      <c r="X273" s="30"/>
      <c r="Y273" s="30"/>
      <c r="Z273" s="30"/>
      <c r="AA273" s="30"/>
      <c r="AB273" s="34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</row>
    <row r="274" spans="1:41" s="39" customFormat="1" ht="20.25" customHeight="1">
      <c r="A274" s="32">
        <v>34</v>
      </c>
      <c r="B274" s="136"/>
      <c r="C274" s="20" t="str">
        <f>IF(A274="","VARA",VLOOKUP(A274,'[1]varas'!$A$4:$B$67,2))</f>
        <v>1ª VT Jaboatão</v>
      </c>
      <c r="D274" s="15"/>
      <c r="E274" s="16"/>
      <c r="F274" s="15">
        <f>35+23+10+9</f>
        <v>77</v>
      </c>
      <c r="G274" s="15">
        <v>10</v>
      </c>
      <c r="H274" s="15">
        <v>0</v>
      </c>
      <c r="I274" s="17">
        <f>SUM(F274:H274)</f>
        <v>87</v>
      </c>
      <c r="J274" s="15">
        <v>24</v>
      </c>
      <c r="K274" s="15">
        <v>7</v>
      </c>
      <c r="L274" s="15">
        <v>10</v>
      </c>
      <c r="M274" s="15">
        <v>9</v>
      </c>
      <c r="N274" s="15">
        <v>0</v>
      </c>
      <c r="O274" s="15">
        <v>23</v>
      </c>
      <c r="P274" s="15">
        <f>SUM(J274:O274)</f>
        <v>73</v>
      </c>
      <c r="Q274" s="15">
        <v>14</v>
      </c>
      <c r="R274" s="15">
        <v>0</v>
      </c>
      <c r="S274" s="15">
        <v>0</v>
      </c>
      <c r="T274" s="15">
        <v>0</v>
      </c>
      <c r="U274" s="15">
        <v>117</v>
      </c>
      <c r="V274" s="18"/>
      <c r="W274" s="18"/>
      <c r="X274" s="30"/>
      <c r="Y274" s="30"/>
      <c r="Z274" s="30"/>
      <c r="AA274" s="30"/>
      <c r="AB274" s="34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</row>
    <row r="275" spans="1:41" s="53" customFormat="1" ht="21" customHeight="1">
      <c r="A275" s="47"/>
      <c r="B275" s="130"/>
      <c r="C275" s="21" t="s">
        <v>12</v>
      </c>
      <c r="D275" s="51"/>
      <c r="E275" s="52"/>
      <c r="F275" s="24">
        <f>SUM(F273:F274)</f>
        <v>77</v>
      </c>
      <c r="G275" s="24">
        <f>SUM(G273:G274)</f>
        <v>10</v>
      </c>
      <c r="H275" s="24">
        <f>SUM(H273:H274)</f>
        <v>0</v>
      </c>
      <c r="I275" s="25">
        <f>SUM(F275:H275)</f>
        <v>87</v>
      </c>
      <c r="J275" s="24">
        <f aca="true" t="shared" si="81" ref="J275:O275">SUM(J273:J274)</f>
        <v>24</v>
      </c>
      <c r="K275" s="24">
        <f t="shared" si="81"/>
        <v>7</v>
      </c>
      <c r="L275" s="24">
        <f t="shared" si="81"/>
        <v>10</v>
      </c>
      <c r="M275" s="24">
        <f t="shared" si="81"/>
        <v>9</v>
      </c>
      <c r="N275" s="24">
        <f t="shared" si="81"/>
        <v>0</v>
      </c>
      <c r="O275" s="24">
        <f t="shared" si="81"/>
        <v>23</v>
      </c>
      <c r="P275" s="24">
        <f>SUM(J275:O275)</f>
        <v>73</v>
      </c>
      <c r="Q275" s="24">
        <f>SUM(Q273:Q274)</f>
        <v>14</v>
      </c>
      <c r="R275" s="24">
        <f>SUM(R273:R274)</f>
        <v>0</v>
      </c>
      <c r="S275" s="24">
        <f>SUM(S273:S274)</f>
        <v>0</v>
      </c>
      <c r="T275" s="24">
        <f>SUM(T273:T274)</f>
        <v>0</v>
      </c>
      <c r="U275" s="24">
        <f>SUM(U273:U274)</f>
        <v>117</v>
      </c>
      <c r="V275" s="26">
        <f>IF(I275-Q275=0,"",IF(D275="",(P275+S275)/(I275-Q275),IF(AND(D275&lt;&gt;"",(P275+S275)/(I275-Q275)&gt;=50%),(P275+S275)/(I275-Q275),"")))</f>
        <v>1</v>
      </c>
      <c r="W275" s="26">
        <f>IF(I275=O275,"",IF(V275="",0,(P275+Q275+S275-O275)/(I275-O275)))</f>
        <v>1</v>
      </c>
      <c r="X275" s="49"/>
      <c r="Y275" s="49"/>
      <c r="Z275" s="49"/>
      <c r="AA275" s="49"/>
      <c r="AB275" s="50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</row>
    <row r="276" spans="1:41" s="39" customFormat="1" ht="22.5" customHeight="1">
      <c r="A276" s="32"/>
      <c r="B276" s="137" t="s">
        <v>95</v>
      </c>
      <c r="C276" s="105" t="s">
        <v>158</v>
      </c>
      <c r="D276" s="29"/>
      <c r="E276" s="16" t="s">
        <v>27</v>
      </c>
      <c r="F276" s="15"/>
      <c r="G276" s="15"/>
      <c r="H276" s="15"/>
      <c r="I276" s="17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8"/>
      <c r="W276" s="18"/>
      <c r="X276" s="30"/>
      <c r="Y276" s="30"/>
      <c r="Z276" s="30"/>
      <c r="AA276" s="30"/>
      <c r="AB276" s="34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</row>
    <row r="277" spans="1:41" s="39" customFormat="1" ht="24" customHeight="1">
      <c r="A277" s="32">
        <v>27</v>
      </c>
      <c r="B277" s="138"/>
      <c r="C277" s="106" t="str">
        <f>IF(A277="","VARA",VLOOKUP(A277,'[1]varas'!$A$4:$B$67,2))</f>
        <v>2ª VT Cabo</v>
      </c>
      <c r="D277" s="15"/>
      <c r="E277" s="16"/>
      <c r="F277" s="15">
        <f>32+17+4</f>
        <v>53</v>
      </c>
      <c r="G277" s="15">
        <v>4</v>
      </c>
      <c r="H277" s="15">
        <v>0</v>
      </c>
      <c r="I277" s="17">
        <f>SUM(F277:H277)</f>
        <v>57</v>
      </c>
      <c r="J277" s="15">
        <v>12</v>
      </c>
      <c r="K277" s="15">
        <v>15</v>
      </c>
      <c r="L277" s="15">
        <v>3</v>
      </c>
      <c r="M277" s="15">
        <v>1</v>
      </c>
      <c r="N277" s="15">
        <v>0</v>
      </c>
      <c r="O277" s="15">
        <v>17</v>
      </c>
      <c r="P277" s="15">
        <f>SUM(J277:O277)</f>
        <v>48</v>
      </c>
      <c r="Q277" s="15">
        <v>9</v>
      </c>
      <c r="R277" s="15">
        <v>0</v>
      </c>
      <c r="S277" s="15">
        <v>0</v>
      </c>
      <c r="T277" s="15">
        <v>0</v>
      </c>
      <c r="U277" s="15">
        <v>123</v>
      </c>
      <c r="V277" s="18"/>
      <c r="W277" s="18"/>
      <c r="X277" s="30"/>
      <c r="Y277" s="30"/>
      <c r="Z277" s="30"/>
      <c r="AA277" s="30"/>
      <c r="AB277" s="34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</row>
    <row r="278" spans="1:41" s="53" customFormat="1" ht="18.75" customHeight="1">
      <c r="A278" s="47"/>
      <c r="B278" s="133"/>
      <c r="C278" s="107" t="s">
        <v>12</v>
      </c>
      <c r="D278" s="51"/>
      <c r="E278" s="52"/>
      <c r="F278" s="24">
        <f>SUM(F276:F277)</f>
        <v>53</v>
      </c>
      <c r="G278" s="24">
        <f>SUM(G276:G277)</f>
        <v>4</v>
      </c>
      <c r="H278" s="24">
        <f>SUM(H276:H277)</f>
        <v>0</v>
      </c>
      <c r="I278" s="25">
        <f>SUM(F278:H278)</f>
        <v>57</v>
      </c>
      <c r="J278" s="24">
        <f aca="true" t="shared" si="82" ref="J278:O278">SUM(J276:J277)</f>
        <v>12</v>
      </c>
      <c r="K278" s="24">
        <f t="shared" si="82"/>
        <v>15</v>
      </c>
      <c r="L278" s="24">
        <f t="shared" si="82"/>
        <v>3</v>
      </c>
      <c r="M278" s="24">
        <f t="shared" si="82"/>
        <v>1</v>
      </c>
      <c r="N278" s="24">
        <f t="shared" si="82"/>
        <v>0</v>
      </c>
      <c r="O278" s="24">
        <f t="shared" si="82"/>
        <v>17</v>
      </c>
      <c r="P278" s="24">
        <f>SUM(J278:O278)</f>
        <v>48</v>
      </c>
      <c r="Q278" s="24">
        <f>SUM(Q276:Q277)</f>
        <v>9</v>
      </c>
      <c r="R278" s="24">
        <f>SUM(R276:R277)</f>
        <v>0</v>
      </c>
      <c r="S278" s="24">
        <f>SUM(S276:S277)</f>
        <v>0</v>
      </c>
      <c r="T278" s="24">
        <f>SUM(T276:T277)</f>
        <v>0</v>
      </c>
      <c r="U278" s="24">
        <f>SUM(U276:U277)</f>
        <v>123</v>
      </c>
      <c r="V278" s="26">
        <f>IF(I278-Q278=0,"",IF(D278="",(P278+S278)/(I278-Q278),IF(AND(D278&lt;&gt;"",(P278+S278)/(I278-Q278)&gt;=50%),(P278+S278)/(I278-Q278),"")))</f>
        <v>1</v>
      </c>
      <c r="W278" s="26">
        <f>IF(I278=O278,"",IF(V278="",0,(P278+Q278+S278-O278)/(I278-O278)))</f>
        <v>1</v>
      </c>
      <c r="X278" s="49"/>
      <c r="Y278" s="49"/>
      <c r="Z278" s="49"/>
      <c r="AA278" s="49"/>
      <c r="AB278" s="50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  <c r="AM278" s="49"/>
      <c r="AN278" s="49"/>
      <c r="AO278" s="49"/>
    </row>
    <row r="279" spans="1:41" s="39" customFormat="1" ht="21.75" customHeight="1">
      <c r="A279" s="32"/>
      <c r="B279" s="137" t="s">
        <v>96</v>
      </c>
      <c r="C279" s="105" t="s">
        <v>2</v>
      </c>
      <c r="D279" s="29" t="s">
        <v>202</v>
      </c>
      <c r="E279" s="16" t="s">
        <v>233</v>
      </c>
      <c r="F279" s="15"/>
      <c r="G279" s="15"/>
      <c r="H279" s="15"/>
      <c r="I279" s="17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8"/>
      <c r="W279" s="18"/>
      <c r="X279" s="30"/>
      <c r="Y279" s="30"/>
      <c r="Z279" s="30"/>
      <c r="AA279" s="30"/>
      <c r="AB279" s="34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</row>
    <row r="280" spans="1:41" s="39" customFormat="1" ht="22.5" customHeight="1">
      <c r="A280" s="32">
        <v>59</v>
      </c>
      <c r="B280" s="138"/>
      <c r="C280" s="106" t="str">
        <f>IF(A280="","VARA",VLOOKUP(A280,'[1]varas'!$A$4:$B$67,2))</f>
        <v>VT Salgueiro</v>
      </c>
      <c r="D280" s="15"/>
      <c r="E280" s="16"/>
      <c r="F280" s="15">
        <f>56+38+8+5</f>
        <v>107</v>
      </c>
      <c r="G280" s="15">
        <v>0</v>
      </c>
      <c r="H280" s="15">
        <v>0</v>
      </c>
      <c r="I280" s="17">
        <f>SUM(F280:H280)</f>
        <v>107</v>
      </c>
      <c r="J280" s="15">
        <v>32</v>
      </c>
      <c r="K280" s="15">
        <v>17</v>
      </c>
      <c r="L280" s="15">
        <v>8</v>
      </c>
      <c r="M280" s="15">
        <v>5</v>
      </c>
      <c r="N280" s="15">
        <v>0</v>
      </c>
      <c r="O280" s="15">
        <v>38</v>
      </c>
      <c r="P280" s="15">
        <f>SUM(J280:O280)</f>
        <v>100</v>
      </c>
      <c r="Q280" s="15">
        <v>7</v>
      </c>
      <c r="R280" s="15">
        <v>0</v>
      </c>
      <c r="S280" s="15">
        <v>0</v>
      </c>
      <c r="T280" s="15">
        <v>0</v>
      </c>
      <c r="U280" s="15">
        <v>210</v>
      </c>
      <c r="V280" s="18"/>
      <c r="W280" s="18"/>
      <c r="X280" s="30"/>
      <c r="Y280" s="30"/>
      <c r="Z280" s="30"/>
      <c r="AA280" s="30"/>
      <c r="AB280" s="34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</row>
    <row r="281" spans="1:41" s="39" customFormat="1" ht="18.75" customHeight="1">
      <c r="A281" s="32">
        <v>62</v>
      </c>
      <c r="B281" s="138"/>
      <c r="C281" s="106" t="str">
        <f>IF(A281="","VARA",VLOOKUP(A281,'[1]varas'!$A$4:$B$67,2))</f>
        <v>PAJT Floresta</v>
      </c>
      <c r="D281" s="15"/>
      <c r="E281" s="16"/>
      <c r="F281" s="15">
        <f>31+9+8+3</f>
        <v>51</v>
      </c>
      <c r="G281" s="15">
        <v>0</v>
      </c>
      <c r="H281" s="15">
        <v>0</v>
      </c>
      <c r="I281" s="17">
        <f>SUM(F281:H281)</f>
        <v>51</v>
      </c>
      <c r="J281" s="15">
        <v>26</v>
      </c>
      <c r="K281" s="15">
        <v>5</v>
      </c>
      <c r="L281" s="15">
        <v>8</v>
      </c>
      <c r="M281" s="15">
        <v>3</v>
      </c>
      <c r="N281" s="15">
        <v>0</v>
      </c>
      <c r="O281" s="15">
        <v>9</v>
      </c>
      <c r="P281" s="15">
        <f>SUM(J281:O281)</f>
        <v>51</v>
      </c>
      <c r="Q281" s="15">
        <v>0</v>
      </c>
      <c r="R281" s="15">
        <v>0</v>
      </c>
      <c r="S281" s="15">
        <v>0</v>
      </c>
      <c r="T281" s="15">
        <v>0</v>
      </c>
      <c r="U281" s="15">
        <v>75</v>
      </c>
      <c r="V281" s="18"/>
      <c r="W281" s="18"/>
      <c r="X281" s="30"/>
      <c r="Y281" s="30"/>
      <c r="Z281" s="30"/>
      <c r="AA281" s="30"/>
      <c r="AB281" s="34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</row>
    <row r="282" spans="1:41" s="39" customFormat="1" ht="22.5" customHeight="1">
      <c r="A282" s="32"/>
      <c r="B282" s="133"/>
      <c r="C282" s="107" t="s">
        <v>12</v>
      </c>
      <c r="D282" s="33"/>
      <c r="E282" s="23"/>
      <c r="F282" s="24">
        <f>SUM(F279:F281)</f>
        <v>158</v>
      </c>
      <c r="G282" s="24">
        <f>SUM(G279:G281)</f>
        <v>0</v>
      </c>
      <c r="H282" s="24">
        <f>SUM(H279:H281)</f>
        <v>0</v>
      </c>
      <c r="I282" s="40">
        <f>SUM(F282:H282)</f>
        <v>158</v>
      </c>
      <c r="J282" s="24">
        <f aca="true" t="shared" si="83" ref="J282:O282">SUM(J279:J281)</f>
        <v>58</v>
      </c>
      <c r="K282" s="24">
        <f t="shared" si="83"/>
        <v>22</v>
      </c>
      <c r="L282" s="24">
        <f t="shared" si="83"/>
        <v>16</v>
      </c>
      <c r="M282" s="24">
        <f t="shared" si="83"/>
        <v>8</v>
      </c>
      <c r="N282" s="24">
        <f t="shared" si="83"/>
        <v>0</v>
      </c>
      <c r="O282" s="24">
        <f t="shared" si="83"/>
        <v>47</v>
      </c>
      <c r="P282" s="24">
        <f>SUM(J282:O282)</f>
        <v>151</v>
      </c>
      <c r="Q282" s="24">
        <f>SUM(Q279:Q281)</f>
        <v>7</v>
      </c>
      <c r="R282" s="24">
        <f>SUM(R279:R281)</f>
        <v>0</v>
      </c>
      <c r="S282" s="24">
        <f>SUM(S279:S281)</f>
        <v>0</v>
      </c>
      <c r="T282" s="24">
        <f>SUM(T279:T281)</f>
        <v>0</v>
      </c>
      <c r="U282" s="24">
        <f>SUM(U279:U281)</f>
        <v>285</v>
      </c>
      <c r="V282" s="26">
        <f>IF(I282-Q282=0,"",IF(D282="",(P282+S282)/(I282-Q282),IF(AND(D282&lt;&gt;"",(P282+S282)/(I282-Q282)&gt;=50%),(P282+S282)/(I282-Q282),"")))</f>
        <v>1</v>
      </c>
      <c r="W282" s="26">
        <f>IF(I282=O282,"",IF(V282="",0,(P282+Q282+S282-O282)/(I282-O282)))</f>
        <v>1</v>
      </c>
      <c r="X282" s="30"/>
      <c r="Y282" s="30"/>
      <c r="Z282" s="30"/>
      <c r="AA282" s="30"/>
      <c r="AB282" s="34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</row>
    <row r="283" spans="1:41" s="39" customFormat="1" ht="18.75" customHeight="1">
      <c r="A283" s="32"/>
      <c r="B283" s="137" t="s">
        <v>168</v>
      </c>
      <c r="C283" s="105" t="s">
        <v>2</v>
      </c>
      <c r="D283" s="29"/>
      <c r="E283" s="16" t="s">
        <v>27</v>
      </c>
      <c r="F283" s="15"/>
      <c r="G283" s="15"/>
      <c r="H283" s="15"/>
      <c r="I283" s="17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8"/>
      <c r="W283" s="18"/>
      <c r="X283" s="30"/>
      <c r="Y283" s="30"/>
      <c r="Z283" s="30"/>
      <c r="AA283" s="30"/>
      <c r="AB283" s="34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</row>
    <row r="284" spans="1:41" s="39" customFormat="1" ht="24" customHeight="1">
      <c r="A284" s="32">
        <v>2</v>
      </c>
      <c r="B284" s="138"/>
      <c r="C284" s="106" t="str">
        <f>IF(A284="","VARA",VLOOKUP(A284,'[1]varas'!$A$4:$B$67,2))</f>
        <v>2ª VT Recife</v>
      </c>
      <c r="D284" s="15"/>
      <c r="E284" s="16"/>
      <c r="F284" s="15">
        <f>5+6</f>
        <v>11</v>
      </c>
      <c r="G284" s="15">
        <v>0</v>
      </c>
      <c r="H284" s="15">
        <v>0</v>
      </c>
      <c r="I284" s="17">
        <f aca="true" t="shared" si="84" ref="I284:I291">SUM(F284:H284)</f>
        <v>11</v>
      </c>
      <c r="J284" s="15">
        <v>0</v>
      </c>
      <c r="K284" s="15">
        <v>0</v>
      </c>
      <c r="L284" s="15">
        <v>3</v>
      </c>
      <c r="M284" s="15">
        <v>0</v>
      </c>
      <c r="N284" s="15">
        <v>0</v>
      </c>
      <c r="O284" s="15">
        <v>3</v>
      </c>
      <c r="P284" s="15">
        <f aca="true" t="shared" si="85" ref="P284:P291">SUM(J284:O284)</f>
        <v>6</v>
      </c>
      <c r="Q284" s="15">
        <v>5</v>
      </c>
      <c r="R284" s="15">
        <v>0</v>
      </c>
      <c r="S284" s="15">
        <v>0</v>
      </c>
      <c r="T284" s="15">
        <v>0</v>
      </c>
      <c r="U284" s="15">
        <v>17</v>
      </c>
      <c r="V284" s="18"/>
      <c r="W284" s="18"/>
      <c r="X284" s="30"/>
      <c r="Y284" s="30"/>
      <c r="Z284" s="30"/>
      <c r="AA284" s="30"/>
      <c r="AB284" s="34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</row>
    <row r="285" spans="1:41" s="39" customFormat="1" ht="21.75" customHeight="1">
      <c r="A285" s="32">
        <v>12</v>
      </c>
      <c r="B285" s="138"/>
      <c r="C285" s="106" t="str">
        <f>IF(A285="","VARA",VLOOKUP(A285,'[1]varas'!$A$4:$B$67,2))</f>
        <v>12ª VT Recife</v>
      </c>
      <c r="D285" s="15"/>
      <c r="E285" s="16"/>
      <c r="F285" s="15">
        <v>10</v>
      </c>
      <c r="G285" s="15">
        <v>0</v>
      </c>
      <c r="H285" s="15">
        <v>0</v>
      </c>
      <c r="I285" s="17">
        <f t="shared" si="84"/>
        <v>10</v>
      </c>
      <c r="J285" s="15">
        <v>4</v>
      </c>
      <c r="K285" s="15">
        <v>0</v>
      </c>
      <c r="L285" s="15">
        <v>0</v>
      </c>
      <c r="M285" s="15">
        <v>0</v>
      </c>
      <c r="N285" s="15">
        <v>0</v>
      </c>
      <c r="O285" s="15">
        <v>3</v>
      </c>
      <c r="P285" s="15">
        <f t="shared" si="85"/>
        <v>7</v>
      </c>
      <c r="Q285" s="15">
        <v>3</v>
      </c>
      <c r="R285" s="15">
        <v>0</v>
      </c>
      <c r="S285" s="15">
        <v>0</v>
      </c>
      <c r="T285" s="15">
        <v>0</v>
      </c>
      <c r="U285" s="15">
        <v>16</v>
      </c>
      <c r="V285" s="18"/>
      <c r="W285" s="18"/>
      <c r="X285" s="30"/>
      <c r="Y285" s="30"/>
      <c r="Z285" s="30"/>
      <c r="AA285" s="30"/>
      <c r="AB285" s="34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</row>
    <row r="286" spans="1:41" s="39" customFormat="1" ht="23.25" customHeight="1">
      <c r="A286" s="32">
        <v>17</v>
      </c>
      <c r="B286" s="138"/>
      <c r="C286" s="106" t="str">
        <f>IF(A286="","VARA",VLOOKUP(A286,'[1]varas'!$A$4:$B$67,2))</f>
        <v>17ª VT Recife</v>
      </c>
      <c r="D286" s="15"/>
      <c r="E286" s="16"/>
      <c r="F286" s="15">
        <v>6</v>
      </c>
      <c r="G286" s="15">
        <v>0</v>
      </c>
      <c r="H286" s="15">
        <v>0</v>
      </c>
      <c r="I286" s="17">
        <f t="shared" si="84"/>
        <v>6</v>
      </c>
      <c r="J286" s="15">
        <v>0</v>
      </c>
      <c r="K286" s="15">
        <v>1</v>
      </c>
      <c r="L286" s="15">
        <v>0</v>
      </c>
      <c r="M286" s="15">
        <v>0</v>
      </c>
      <c r="N286" s="15">
        <v>0</v>
      </c>
      <c r="O286" s="15">
        <v>2</v>
      </c>
      <c r="P286" s="15">
        <f t="shared" si="85"/>
        <v>3</v>
      </c>
      <c r="Q286" s="15">
        <v>3</v>
      </c>
      <c r="R286" s="15">
        <v>0</v>
      </c>
      <c r="S286" s="15">
        <v>0</v>
      </c>
      <c r="T286" s="15">
        <v>0</v>
      </c>
      <c r="U286" s="15">
        <v>14</v>
      </c>
      <c r="V286" s="18"/>
      <c r="W286" s="18"/>
      <c r="X286" s="30"/>
      <c r="Y286" s="30"/>
      <c r="Z286" s="30"/>
      <c r="AA286" s="30"/>
      <c r="AB286" s="34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</row>
    <row r="287" spans="1:41" s="39" customFormat="1" ht="23.25" customHeight="1">
      <c r="A287" s="32">
        <v>61</v>
      </c>
      <c r="B287" s="138"/>
      <c r="C287" s="106" t="str">
        <f>IF(A287="","VARA",VLOOKUP(A287,'[1]varas'!$A$4:$B$67,2))</f>
        <v>VT Vitória</v>
      </c>
      <c r="D287" s="15"/>
      <c r="E287" s="16"/>
      <c r="F287" s="15">
        <v>12</v>
      </c>
      <c r="G287" s="15">
        <v>0</v>
      </c>
      <c r="H287" s="15">
        <v>0</v>
      </c>
      <c r="I287" s="17">
        <f>SUM(F287:H287)</f>
        <v>12</v>
      </c>
      <c r="J287" s="15">
        <v>0</v>
      </c>
      <c r="K287" s="15">
        <v>1</v>
      </c>
      <c r="L287" s="15">
        <v>0</v>
      </c>
      <c r="M287" s="15">
        <v>0</v>
      </c>
      <c r="N287" s="15">
        <v>0</v>
      </c>
      <c r="O287" s="15">
        <v>8</v>
      </c>
      <c r="P287" s="15">
        <f>SUM(J287:O287)</f>
        <v>9</v>
      </c>
      <c r="Q287" s="15">
        <v>1</v>
      </c>
      <c r="R287" s="15">
        <v>2</v>
      </c>
      <c r="S287" s="15">
        <v>0</v>
      </c>
      <c r="T287" s="15">
        <v>0</v>
      </c>
      <c r="U287" s="15">
        <v>18</v>
      </c>
      <c r="V287" s="18"/>
      <c r="W287" s="18"/>
      <c r="X287" s="30"/>
      <c r="Y287" s="30"/>
      <c r="Z287" s="30"/>
      <c r="AA287" s="30"/>
      <c r="AB287" s="34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</row>
    <row r="288" spans="1:41" s="39" customFormat="1" ht="23.25" customHeight="1">
      <c r="A288" s="32">
        <v>37</v>
      </c>
      <c r="B288" s="138"/>
      <c r="C288" s="106" t="str">
        <f>IF(A288="","VARA",VLOOKUP(A288,'[1]varas'!$A$4:$B$67,2))</f>
        <v>4ª VT Jaboatão</v>
      </c>
      <c r="D288" s="15"/>
      <c r="E288" s="16"/>
      <c r="F288" s="15">
        <v>0</v>
      </c>
      <c r="G288" s="15">
        <v>3</v>
      </c>
      <c r="H288" s="15">
        <v>0</v>
      </c>
      <c r="I288" s="17">
        <f>SUM(F288:H288)</f>
        <v>3</v>
      </c>
      <c r="J288" s="15">
        <v>3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15">
        <f>SUM(J288:O288)</f>
        <v>3</v>
      </c>
      <c r="Q288" s="15">
        <v>0</v>
      </c>
      <c r="R288" s="15">
        <v>0</v>
      </c>
      <c r="S288" s="15">
        <v>0</v>
      </c>
      <c r="T288" s="15">
        <v>0</v>
      </c>
      <c r="U288" s="15">
        <v>0</v>
      </c>
      <c r="V288" s="18"/>
      <c r="W288" s="18"/>
      <c r="X288" s="30"/>
      <c r="Y288" s="30"/>
      <c r="Z288" s="30"/>
      <c r="AA288" s="30"/>
      <c r="AB288" s="34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</row>
    <row r="289" spans="1:41" s="39" customFormat="1" ht="23.25" customHeight="1">
      <c r="A289" s="32">
        <v>33</v>
      </c>
      <c r="B289" s="138"/>
      <c r="C289" s="106" t="str">
        <f>IF(A289="","VARA",VLOOKUP(A289,'[1]varas'!$A$4:$B$67,2))</f>
        <v>2ª VT Ipojuca</v>
      </c>
      <c r="D289" s="15"/>
      <c r="E289" s="16"/>
      <c r="F289" s="15">
        <f>46+11+9</f>
        <v>66</v>
      </c>
      <c r="G289" s="15">
        <v>8</v>
      </c>
      <c r="H289" s="15">
        <v>5</v>
      </c>
      <c r="I289" s="17">
        <f>SUM(F289:H289)</f>
        <v>79</v>
      </c>
      <c r="J289" s="15">
        <v>42</v>
      </c>
      <c r="K289" s="15">
        <v>11</v>
      </c>
      <c r="L289" s="15">
        <v>8</v>
      </c>
      <c r="M289" s="15">
        <v>1</v>
      </c>
      <c r="N289" s="15">
        <v>0</v>
      </c>
      <c r="O289" s="15">
        <v>11</v>
      </c>
      <c r="P289" s="15">
        <f>SUM(J289:O289)</f>
        <v>73</v>
      </c>
      <c r="Q289" s="15">
        <v>3</v>
      </c>
      <c r="R289" s="15">
        <v>1</v>
      </c>
      <c r="S289" s="15">
        <v>0</v>
      </c>
      <c r="T289" s="15">
        <v>2</v>
      </c>
      <c r="U289" s="15">
        <v>111</v>
      </c>
      <c r="V289" s="18"/>
      <c r="W289" s="18"/>
      <c r="X289" s="30"/>
      <c r="Y289" s="30"/>
      <c r="Z289" s="30"/>
      <c r="AA289" s="30"/>
      <c r="AB289" s="34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</row>
    <row r="290" spans="1:41" s="39" customFormat="1" ht="26.25" customHeight="1">
      <c r="A290" s="32">
        <v>49</v>
      </c>
      <c r="B290" s="138"/>
      <c r="C290" s="106" t="str">
        <f>IF(A290="","VARA",VLOOKUP(A290,'[1]varas'!$A$4:$B$67,2))</f>
        <v>VT Escada</v>
      </c>
      <c r="D290" s="15"/>
      <c r="E290" s="16"/>
      <c r="F290" s="15">
        <v>8</v>
      </c>
      <c r="G290" s="15">
        <v>0</v>
      </c>
      <c r="H290" s="15">
        <v>0</v>
      </c>
      <c r="I290" s="17">
        <f>SUM(F290:H290)</f>
        <v>8</v>
      </c>
      <c r="J290" s="15">
        <v>2</v>
      </c>
      <c r="K290" s="15">
        <v>3</v>
      </c>
      <c r="L290" s="15">
        <v>0</v>
      </c>
      <c r="M290" s="15">
        <v>0</v>
      </c>
      <c r="N290" s="15">
        <v>0</v>
      </c>
      <c r="O290" s="15">
        <v>3</v>
      </c>
      <c r="P290" s="15">
        <f>SUM(J290:O290)</f>
        <v>8</v>
      </c>
      <c r="Q290" s="15">
        <v>0</v>
      </c>
      <c r="R290" s="15">
        <v>0</v>
      </c>
      <c r="S290" s="15">
        <v>0</v>
      </c>
      <c r="T290" s="15">
        <v>0</v>
      </c>
      <c r="U290" s="15">
        <v>17</v>
      </c>
      <c r="V290" s="18"/>
      <c r="W290" s="18"/>
      <c r="X290" s="30"/>
      <c r="Y290" s="30"/>
      <c r="Z290" s="30"/>
      <c r="AA290" s="30"/>
      <c r="AB290" s="34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</row>
    <row r="291" spans="1:41" s="39" customFormat="1" ht="21" customHeight="1">
      <c r="A291" s="32"/>
      <c r="B291" s="133"/>
      <c r="C291" s="107" t="s">
        <v>12</v>
      </c>
      <c r="D291" s="33"/>
      <c r="E291" s="23"/>
      <c r="F291" s="24">
        <f>SUM(F283:F290)</f>
        <v>113</v>
      </c>
      <c r="G291" s="24">
        <f>SUM(G283:G290)</f>
        <v>11</v>
      </c>
      <c r="H291" s="24">
        <f>SUM(H283:H290)</f>
        <v>5</v>
      </c>
      <c r="I291" s="40">
        <f t="shared" si="84"/>
        <v>129</v>
      </c>
      <c r="J291" s="24">
        <f aca="true" t="shared" si="86" ref="J291:O291">SUM(J283:J290)</f>
        <v>51</v>
      </c>
      <c r="K291" s="24">
        <f t="shared" si="86"/>
        <v>16</v>
      </c>
      <c r="L291" s="24">
        <f t="shared" si="86"/>
        <v>11</v>
      </c>
      <c r="M291" s="24">
        <f t="shared" si="86"/>
        <v>1</v>
      </c>
      <c r="N291" s="24">
        <f t="shared" si="86"/>
        <v>0</v>
      </c>
      <c r="O291" s="24">
        <f t="shared" si="86"/>
        <v>30</v>
      </c>
      <c r="P291" s="24">
        <f t="shared" si="85"/>
        <v>109</v>
      </c>
      <c r="Q291" s="24">
        <f>SUM(Q283:Q290)</f>
        <v>15</v>
      </c>
      <c r="R291" s="24">
        <f>SUM(R283:R290)</f>
        <v>3</v>
      </c>
      <c r="S291" s="24">
        <f>SUM(S283:S290)</f>
        <v>0</v>
      </c>
      <c r="T291" s="24">
        <f>SUM(T283:T290)</f>
        <v>2</v>
      </c>
      <c r="U291" s="24">
        <f>SUM(U283:U290)</f>
        <v>193</v>
      </c>
      <c r="V291" s="26">
        <f>IF(I291-Q291=0,"",IF(D291="",(P291+S291)/(I291-Q291),IF(AND(D291&lt;&gt;"",(P291+S291)/(I291-Q291)&gt;=50%),(P291+S291)/(I291-Q291),"")))</f>
        <v>0.956140350877193</v>
      </c>
      <c r="W291" s="26">
        <f>IF(I291=O291,"",IF(V291="",0,(P291+Q291+S291-O291)/(I291-O291)))</f>
        <v>0.9494949494949495</v>
      </c>
      <c r="X291" s="30"/>
      <c r="Y291" s="30"/>
      <c r="Z291" s="30"/>
      <c r="AA291" s="30"/>
      <c r="AB291" s="34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</row>
    <row r="292" spans="1:41" s="39" customFormat="1" ht="24.75" customHeight="1">
      <c r="A292" s="32"/>
      <c r="B292" s="129" t="s">
        <v>97</v>
      </c>
      <c r="C292" s="14" t="s">
        <v>2</v>
      </c>
      <c r="D292" s="29"/>
      <c r="E292" s="16" t="s">
        <v>27</v>
      </c>
      <c r="F292" s="15"/>
      <c r="G292" s="15"/>
      <c r="H292" s="15"/>
      <c r="I292" s="17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8"/>
      <c r="W292" s="18"/>
      <c r="X292" s="30"/>
      <c r="Y292" s="30"/>
      <c r="Z292" s="30"/>
      <c r="AA292" s="30"/>
      <c r="AB292" s="34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</row>
    <row r="293" spans="1:41" s="39" customFormat="1" ht="21" customHeight="1">
      <c r="A293" s="32">
        <v>9</v>
      </c>
      <c r="B293" s="136"/>
      <c r="C293" s="20" t="str">
        <f>IF(A293="","VARA",VLOOKUP(A293,'[1]varas'!$A$4:$B$67,2))</f>
        <v>9ª VT Recife</v>
      </c>
      <c r="D293" s="15"/>
      <c r="E293" s="16"/>
      <c r="F293" s="15">
        <f>37+23+10</f>
        <v>70</v>
      </c>
      <c r="G293" s="15">
        <v>19</v>
      </c>
      <c r="H293" s="15">
        <v>32</v>
      </c>
      <c r="I293" s="17">
        <f>SUM(F293:H293)</f>
        <v>121</v>
      </c>
      <c r="J293" s="15">
        <v>36</v>
      </c>
      <c r="K293" s="15">
        <v>11</v>
      </c>
      <c r="L293" s="15">
        <v>9</v>
      </c>
      <c r="M293" s="15">
        <v>1</v>
      </c>
      <c r="N293" s="15">
        <v>0</v>
      </c>
      <c r="O293" s="15">
        <v>23</v>
      </c>
      <c r="P293" s="15">
        <f>SUM(J293:O293)</f>
        <v>80</v>
      </c>
      <c r="Q293" s="15">
        <v>6</v>
      </c>
      <c r="R293" s="15">
        <v>35</v>
      </c>
      <c r="S293" s="15">
        <v>0</v>
      </c>
      <c r="T293" s="15">
        <v>0</v>
      </c>
      <c r="U293" s="15">
        <v>155</v>
      </c>
      <c r="V293" s="18"/>
      <c r="W293" s="18"/>
      <c r="X293" s="30"/>
      <c r="Y293" s="30"/>
      <c r="Z293" s="30"/>
      <c r="AA293" s="30"/>
      <c r="AB293" s="34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</row>
    <row r="294" spans="1:41" s="39" customFormat="1" ht="22.5" customHeight="1">
      <c r="A294" s="32"/>
      <c r="B294" s="142"/>
      <c r="C294" s="21" t="s">
        <v>12</v>
      </c>
      <c r="D294" s="33"/>
      <c r="E294" s="23"/>
      <c r="F294" s="24">
        <f>SUM(F292:F293)</f>
        <v>70</v>
      </c>
      <c r="G294" s="24">
        <f>SUM(G292:G293)</f>
        <v>19</v>
      </c>
      <c r="H294" s="24">
        <f>SUM(H292:H293)</f>
        <v>32</v>
      </c>
      <c r="I294" s="40">
        <f>SUM(F294:H294)</f>
        <v>121</v>
      </c>
      <c r="J294" s="24">
        <f aca="true" t="shared" si="87" ref="J294:O294">SUM(J292:J293)</f>
        <v>36</v>
      </c>
      <c r="K294" s="24">
        <f t="shared" si="87"/>
        <v>11</v>
      </c>
      <c r="L294" s="24">
        <f t="shared" si="87"/>
        <v>9</v>
      </c>
      <c r="M294" s="24">
        <f t="shared" si="87"/>
        <v>1</v>
      </c>
      <c r="N294" s="24">
        <f t="shared" si="87"/>
        <v>0</v>
      </c>
      <c r="O294" s="24">
        <f t="shared" si="87"/>
        <v>23</v>
      </c>
      <c r="P294" s="24">
        <f>SUM(J294:O294)</f>
        <v>80</v>
      </c>
      <c r="Q294" s="24">
        <f>SUM(Q292:Q293)</f>
        <v>6</v>
      </c>
      <c r="R294" s="24">
        <f>SUM(R292:R293)</f>
        <v>35</v>
      </c>
      <c r="S294" s="24">
        <f>SUM(S292:S293)</f>
        <v>0</v>
      </c>
      <c r="T294" s="24">
        <f>SUM(T292:T293)</f>
        <v>0</v>
      </c>
      <c r="U294" s="24">
        <f>SUM(U292:U293)</f>
        <v>155</v>
      </c>
      <c r="V294" s="26">
        <f>IF(I294-Q294=0,"",IF(D294="",(P294+S294)/(I294-Q294),IF(AND(D294&lt;&gt;"",(P294+S294)/(I294-Q294)&gt;=50%),(P294+S294)/(I294-Q294),"")))</f>
        <v>0.6956521739130435</v>
      </c>
      <c r="W294" s="26">
        <f>IF(I294=O294,"",IF(V294="",0,(P294+Q294+S294-O294)/(I294-O294)))</f>
        <v>0.6428571428571429</v>
      </c>
      <c r="X294" s="30"/>
      <c r="Y294" s="30"/>
      <c r="Z294" s="30"/>
      <c r="AA294" s="30"/>
      <c r="AB294" s="34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</row>
    <row r="295" spans="1:41" s="39" customFormat="1" ht="27" customHeight="1">
      <c r="A295" s="32"/>
      <c r="B295" s="129" t="s">
        <v>98</v>
      </c>
      <c r="C295" s="14" t="s">
        <v>2</v>
      </c>
      <c r="D295" s="29"/>
      <c r="E295" s="16" t="s">
        <v>27</v>
      </c>
      <c r="F295" s="15"/>
      <c r="G295" s="15"/>
      <c r="H295" s="15"/>
      <c r="I295" s="17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8"/>
      <c r="W295" s="18"/>
      <c r="X295" s="30"/>
      <c r="Y295" s="30"/>
      <c r="Z295" s="30"/>
      <c r="AA295" s="30"/>
      <c r="AB295" s="34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</row>
    <row r="296" spans="1:41" s="39" customFormat="1" ht="21.75" customHeight="1">
      <c r="A296" s="32">
        <v>4</v>
      </c>
      <c r="B296" s="129"/>
      <c r="C296" s="20" t="str">
        <f>IF(A296="","VARA",VLOOKUP(A296,'[1]varas'!$A$4:$B$67,2))</f>
        <v>4ª VT Recife</v>
      </c>
      <c r="D296" s="15"/>
      <c r="E296" s="16"/>
      <c r="F296" s="15">
        <f>45+33+4</f>
        <v>82</v>
      </c>
      <c r="G296" s="15">
        <v>0</v>
      </c>
      <c r="H296" s="15">
        <v>0</v>
      </c>
      <c r="I296" s="17">
        <f>SUM(F296:H296)</f>
        <v>82</v>
      </c>
      <c r="J296" s="15">
        <v>36</v>
      </c>
      <c r="K296" s="15">
        <v>2</v>
      </c>
      <c r="L296" s="15">
        <v>1</v>
      </c>
      <c r="M296" s="15">
        <v>4</v>
      </c>
      <c r="N296" s="15">
        <v>0</v>
      </c>
      <c r="O296" s="15">
        <v>32</v>
      </c>
      <c r="P296" s="15">
        <f>SUM(J296:O296)</f>
        <v>75</v>
      </c>
      <c r="Q296" s="15">
        <v>7</v>
      </c>
      <c r="R296" s="15">
        <v>0</v>
      </c>
      <c r="S296" s="15">
        <v>0</v>
      </c>
      <c r="T296" s="15">
        <v>0</v>
      </c>
      <c r="U296" s="15">
        <v>136</v>
      </c>
      <c r="V296" s="18"/>
      <c r="W296" s="18"/>
      <c r="X296" s="30"/>
      <c r="Y296" s="30"/>
      <c r="Z296" s="30"/>
      <c r="AA296" s="30"/>
      <c r="AB296" s="34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</row>
    <row r="297" spans="1:41" s="39" customFormat="1" ht="23.25" customHeight="1">
      <c r="A297" s="32"/>
      <c r="B297" s="136"/>
      <c r="C297" s="21" t="s">
        <v>12</v>
      </c>
      <c r="D297" s="33"/>
      <c r="E297" s="23"/>
      <c r="F297" s="24">
        <f>SUM(F295:F296)</f>
        <v>82</v>
      </c>
      <c r="G297" s="24">
        <f>SUM(G295:G296)</f>
        <v>0</v>
      </c>
      <c r="H297" s="24">
        <f>SUM(H295:H296)</f>
        <v>0</v>
      </c>
      <c r="I297" s="40">
        <f>SUM(F297:H297)</f>
        <v>82</v>
      </c>
      <c r="J297" s="24">
        <f aca="true" t="shared" si="88" ref="J297:O297">SUM(J295:J296)</f>
        <v>36</v>
      </c>
      <c r="K297" s="24">
        <f t="shared" si="88"/>
        <v>2</v>
      </c>
      <c r="L297" s="24">
        <f t="shared" si="88"/>
        <v>1</v>
      </c>
      <c r="M297" s="24">
        <f t="shared" si="88"/>
        <v>4</v>
      </c>
      <c r="N297" s="24">
        <f t="shared" si="88"/>
        <v>0</v>
      </c>
      <c r="O297" s="24">
        <f t="shared" si="88"/>
        <v>32</v>
      </c>
      <c r="P297" s="24">
        <f>SUM(J297:O297)</f>
        <v>75</v>
      </c>
      <c r="Q297" s="24">
        <f>SUM(Q295:Q296)</f>
        <v>7</v>
      </c>
      <c r="R297" s="24">
        <f>SUM(R295:R296)</f>
        <v>0</v>
      </c>
      <c r="S297" s="24">
        <f>SUM(S295:S296)</f>
        <v>0</v>
      </c>
      <c r="T297" s="24">
        <f>SUM(T295:T296)</f>
        <v>0</v>
      </c>
      <c r="U297" s="24">
        <f>SUM(U295:U296)</f>
        <v>136</v>
      </c>
      <c r="V297" s="26">
        <f>IF(I297-Q297=0,"",IF(D297="",(P297+S297)/(I297-Q297),IF(AND(D297&lt;&gt;"",(P297+S297)/(I297-Q297)&gt;=50%),(P297+S297)/(I297-Q297),"")))</f>
        <v>1</v>
      </c>
      <c r="W297" s="26">
        <f>IF(I297=O297,"",IF(V297="",0,(P297+Q297+S297-O297)/(I297-O297)))</f>
        <v>1</v>
      </c>
      <c r="X297" s="30"/>
      <c r="Y297" s="30"/>
      <c r="Z297" s="30"/>
      <c r="AA297" s="30"/>
      <c r="AB297" s="34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</row>
    <row r="298" spans="1:41" s="39" customFormat="1" ht="23.25" customHeight="1">
      <c r="A298" s="32"/>
      <c r="B298" s="136" t="s">
        <v>99</v>
      </c>
      <c r="C298" s="14" t="s">
        <v>155</v>
      </c>
      <c r="D298" s="29" t="s">
        <v>30</v>
      </c>
      <c r="E298" s="16" t="s">
        <v>234</v>
      </c>
      <c r="F298" s="15"/>
      <c r="G298" s="15"/>
      <c r="H298" s="15"/>
      <c r="I298" s="17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8"/>
      <c r="W298" s="18"/>
      <c r="X298" s="30"/>
      <c r="Y298" s="30"/>
      <c r="Z298" s="30"/>
      <c r="AA298" s="30"/>
      <c r="AB298" s="34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</row>
    <row r="299" spans="1:41" s="39" customFormat="1" ht="18.75" customHeight="1">
      <c r="A299" s="32">
        <v>39</v>
      </c>
      <c r="B299" s="136"/>
      <c r="C299" s="20" t="str">
        <f>IF(A299="","VARA",VLOOKUP(A299,'[1]varas'!$A$4:$B$67,2))</f>
        <v>2ª VT Olinda</v>
      </c>
      <c r="D299" s="15"/>
      <c r="E299" s="16"/>
      <c r="F299" s="15">
        <f>24+32</f>
        <v>56</v>
      </c>
      <c r="G299" s="15">
        <v>0</v>
      </c>
      <c r="H299" s="15">
        <v>1</v>
      </c>
      <c r="I299" s="17">
        <f>SUM(F299:H299)</f>
        <v>57</v>
      </c>
      <c r="J299" s="15">
        <v>0</v>
      </c>
      <c r="K299" s="15">
        <v>8</v>
      </c>
      <c r="L299" s="15">
        <v>0</v>
      </c>
      <c r="M299" s="15">
        <v>0</v>
      </c>
      <c r="N299" s="15">
        <v>0</v>
      </c>
      <c r="O299" s="15">
        <v>32</v>
      </c>
      <c r="P299" s="15">
        <f>SUM(J299:O299)</f>
        <v>40</v>
      </c>
      <c r="Q299" s="15">
        <v>16</v>
      </c>
      <c r="R299" s="15">
        <v>1</v>
      </c>
      <c r="S299" s="15">
        <v>0</v>
      </c>
      <c r="T299" s="15">
        <v>0</v>
      </c>
      <c r="U299" s="15">
        <v>102</v>
      </c>
      <c r="V299" s="18"/>
      <c r="W299" s="18"/>
      <c r="X299" s="30"/>
      <c r="Y299" s="30"/>
      <c r="Z299" s="30"/>
      <c r="AA299" s="30"/>
      <c r="AB299" s="34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</row>
    <row r="300" spans="1:41" s="53" customFormat="1" ht="24" customHeight="1">
      <c r="A300" s="47"/>
      <c r="B300" s="130"/>
      <c r="C300" s="21" t="s">
        <v>12</v>
      </c>
      <c r="D300" s="51"/>
      <c r="E300" s="52"/>
      <c r="F300" s="24">
        <f>SUM(F298:F299)</f>
        <v>56</v>
      </c>
      <c r="G300" s="24">
        <f>SUM(G298:G299)</f>
        <v>0</v>
      </c>
      <c r="H300" s="24">
        <f>SUM(H298:H299)</f>
        <v>1</v>
      </c>
      <c r="I300" s="25">
        <f>SUM(F300:H300)</f>
        <v>57</v>
      </c>
      <c r="J300" s="24">
        <f aca="true" t="shared" si="89" ref="J300:O300">SUM(J298:J299)</f>
        <v>0</v>
      </c>
      <c r="K300" s="24">
        <f t="shared" si="89"/>
        <v>8</v>
      </c>
      <c r="L300" s="24">
        <f t="shared" si="89"/>
        <v>0</v>
      </c>
      <c r="M300" s="24">
        <f t="shared" si="89"/>
        <v>0</v>
      </c>
      <c r="N300" s="24">
        <f t="shared" si="89"/>
        <v>0</v>
      </c>
      <c r="O300" s="24">
        <f t="shared" si="89"/>
        <v>32</v>
      </c>
      <c r="P300" s="24">
        <f>SUM(J300:O300)</f>
        <v>40</v>
      </c>
      <c r="Q300" s="24">
        <f>SUM(Q298:Q299)</f>
        <v>16</v>
      </c>
      <c r="R300" s="24">
        <f>SUM(R298:R299)</f>
        <v>1</v>
      </c>
      <c r="S300" s="24">
        <f>SUM(S298:S299)</f>
        <v>0</v>
      </c>
      <c r="T300" s="24">
        <f>SUM(T298:T299)</f>
        <v>0</v>
      </c>
      <c r="U300" s="24">
        <f>SUM(U298:U299)</f>
        <v>102</v>
      </c>
      <c r="V300" s="26">
        <f>IF(I300-Q300=0,"",IF(D300="",(P300+S300)/(I300-Q300),IF(AND(D300&lt;&gt;"",(P300+S300)/(I300-Q300)&gt;=50%),(P300+S300)/(I300-Q300),"")))</f>
        <v>0.975609756097561</v>
      </c>
      <c r="W300" s="26">
        <f>IF(I300=O300,"",IF(V300="",0,(P300+Q300+S300-O300)/(I300-O300)))</f>
        <v>0.96</v>
      </c>
      <c r="X300" s="49"/>
      <c r="Y300" s="49"/>
      <c r="Z300" s="49"/>
      <c r="AA300" s="49"/>
      <c r="AB300" s="50"/>
      <c r="AC300" s="49"/>
      <c r="AD300" s="49"/>
      <c r="AE300" s="49"/>
      <c r="AF300" s="49"/>
      <c r="AG300" s="49"/>
      <c r="AH300" s="49"/>
      <c r="AI300" s="49"/>
      <c r="AJ300" s="49"/>
      <c r="AK300" s="49"/>
      <c r="AL300" s="49"/>
      <c r="AM300" s="49"/>
      <c r="AN300" s="49"/>
      <c r="AO300" s="49"/>
    </row>
    <row r="301" spans="1:41" s="39" customFormat="1" ht="20.25" customHeight="1">
      <c r="A301" s="32"/>
      <c r="B301" s="137" t="s">
        <v>100</v>
      </c>
      <c r="C301" s="105" t="s">
        <v>158</v>
      </c>
      <c r="D301" s="15"/>
      <c r="E301" s="16" t="s">
        <v>27</v>
      </c>
      <c r="F301" s="15"/>
      <c r="G301" s="15"/>
      <c r="H301" s="15"/>
      <c r="I301" s="17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8"/>
      <c r="W301" s="18"/>
      <c r="X301" s="30"/>
      <c r="Y301" s="30"/>
      <c r="Z301" s="30"/>
      <c r="AA301" s="30"/>
      <c r="AB301" s="34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</row>
    <row r="302" spans="1:41" s="39" customFormat="1" ht="20.25" customHeight="1">
      <c r="A302" s="32">
        <v>19</v>
      </c>
      <c r="B302" s="138"/>
      <c r="C302" s="106" t="str">
        <f>IF(A302="","VARA",VLOOKUP(A302,'[1]varas'!$A$4:$B$67,2))</f>
        <v>19ª VT Recife</v>
      </c>
      <c r="D302" s="15"/>
      <c r="E302" s="16"/>
      <c r="F302" s="15">
        <f>47+32+31+9</f>
        <v>119</v>
      </c>
      <c r="G302" s="15">
        <v>7</v>
      </c>
      <c r="H302" s="15">
        <v>0</v>
      </c>
      <c r="I302" s="17">
        <f>SUM(F302:H302)</f>
        <v>126</v>
      </c>
      <c r="J302" s="15">
        <v>32</v>
      </c>
      <c r="K302" s="15">
        <v>7</v>
      </c>
      <c r="L302" s="15">
        <v>31</v>
      </c>
      <c r="M302" s="15">
        <v>9</v>
      </c>
      <c r="N302" s="15">
        <v>0</v>
      </c>
      <c r="O302" s="15">
        <v>32</v>
      </c>
      <c r="P302" s="15">
        <f>SUM(J302:O302)</f>
        <v>111</v>
      </c>
      <c r="Q302" s="15">
        <v>7</v>
      </c>
      <c r="R302" s="15">
        <v>8</v>
      </c>
      <c r="S302" s="15">
        <v>0</v>
      </c>
      <c r="T302" s="15">
        <v>0</v>
      </c>
      <c r="U302" s="15">
        <v>169</v>
      </c>
      <c r="V302" s="18"/>
      <c r="W302" s="18"/>
      <c r="X302" s="30"/>
      <c r="Y302" s="30"/>
      <c r="Z302" s="30"/>
      <c r="AA302" s="30"/>
      <c r="AB302" s="34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</row>
    <row r="303" spans="1:41" s="39" customFormat="1" ht="24.75" customHeight="1">
      <c r="A303" s="32"/>
      <c r="B303" s="133"/>
      <c r="C303" s="107" t="s">
        <v>12</v>
      </c>
      <c r="D303" s="33"/>
      <c r="E303" s="23"/>
      <c r="F303" s="24">
        <f>SUM(F301:F302)</f>
        <v>119</v>
      </c>
      <c r="G303" s="24">
        <f>SUM(G301:G302)</f>
        <v>7</v>
      </c>
      <c r="H303" s="24">
        <f>SUM(H301:H302)</f>
        <v>0</v>
      </c>
      <c r="I303" s="40">
        <f>SUM(F303:H303)</f>
        <v>126</v>
      </c>
      <c r="J303" s="24">
        <f aca="true" t="shared" si="90" ref="J303:O303">SUM(J301:J302)</f>
        <v>32</v>
      </c>
      <c r="K303" s="24">
        <f t="shared" si="90"/>
        <v>7</v>
      </c>
      <c r="L303" s="24">
        <f t="shared" si="90"/>
        <v>31</v>
      </c>
      <c r="M303" s="24">
        <f t="shared" si="90"/>
        <v>9</v>
      </c>
      <c r="N303" s="24">
        <f t="shared" si="90"/>
        <v>0</v>
      </c>
      <c r="O303" s="24">
        <f t="shared" si="90"/>
        <v>32</v>
      </c>
      <c r="P303" s="24">
        <f>SUM(J303:O303)</f>
        <v>111</v>
      </c>
      <c r="Q303" s="24">
        <f>SUM(Q301:Q302)</f>
        <v>7</v>
      </c>
      <c r="R303" s="24">
        <f>SUM(R301:R302)</f>
        <v>8</v>
      </c>
      <c r="S303" s="24">
        <f>SUM(S301:S302)</f>
        <v>0</v>
      </c>
      <c r="T303" s="24">
        <f>SUM(T301:T302)</f>
        <v>0</v>
      </c>
      <c r="U303" s="24">
        <f>SUM(U301:U302)</f>
        <v>169</v>
      </c>
      <c r="V303" s="26">
        <f>IF(I303-Q303=0,"",IF(D303="",(P303+S303)/(I303-Q303),IF(AND(D303&lt;&gt;"",(P303+S303)/(I303-Q303)&gt;=50%),(P303+S303)/(I303-Q303),"")))</f>
        <v>0.9327731092436975</v>
      </c>
      <c r="W303" s="26">
        <f>IF(I303=O303,"",IF(V303="",0,(P303+Q303+S303-O303)/(I303-O303)))</f>
        <v>0.9148936170212766</v>
      </c>
      <c r="X303" s="30"/>
      <c r="Y303" s="30"/>
      <c r="Z303" s="30"/>
      <c r="AA303" s="30"/>
      <c r="AB303" s="34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</row>
    <row r="304" spans="1:41" s="39" customFormat="1" ht="23.25" customHeight="1">
      <c r="A304" s="32"/>
      <c r="B304" s="137" t="s">
        <v>101</v>
      </c>
      <c r="C304" s="105" t="s">
        <v>2</v>
      </c>
      <c r="D304" s="29" t="s">
        <v>236</v>
      </c>
      <c r="E304" s="16" t="s">
        <v>237</v>
      </c>
      <c r="F304" s="15"/>
      <c r="G304" s="15"/>
      <c r="H304" s="15"/>
      <c r="I304" s="17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8"/>
      <c r="W304" s="18"/>
      <c r="X304" s="30"/>
      <c r="Y304" s="30"/>
      <c r="Z304" s="30"/>
      <c r="AA304" s="30"/>
      <c r="AB304" s="34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</row>
    <row r="305" spans="1:41" s="39" customFormat="1" ht="20.25" customHeight="1">
      <c r="A305" s="32">
        <v>35</v>
      </c>
      <c r="B305" s="138"/>
      <c r="C305" s="106" t="str">
        <f>IF(A305="","VARA",VLOOKUP(A305,'[1]varas'!$A$4:$B$67,2))</f>
        <v>2ª VT Jaboatão</v>
      </c>
      <c r="D305" s="29"/>
      <c r="E305" s="16"/>
      <c r="F305" s="15">
        <f>3+15+4</f>
        <v>22</v>
      </c>
      <c r="G305" s="15">
        <v>0</v>
      </c>
      <c r="H305" s="15">
        <v>0</v>
      </c>
      <c r="I305" s="17">
        <f>SUM(F305:H305)</f>
        <v>22</v>
      </c>
      <c r="J305" s="15">
        <v>3</v>
      </c>
      <c r="K305" s="15">
        <v>0</v>
      </c>
      <c r="L305" s="15">
        <v>4</v>
      </c>
      <c r="M305" s="15">
        <v>0</v>
      </c>
      <c r="N305" s="15">
        <v>0</v>
      </c>
      <c r="O305" s="15">
        <v>15</v>
      </c>
      <c r="P305" s="15">
        <f>SUM(J305:O305)</f>
        <v>22</v>
      </c>
      <c r="Q305" s="15">
        <v>0</v>
      </c>
      <c r="R305" s="15">
        <v>0</v>
      </c>
      <c r="S305" s="15">
        <v>0</v>
      </c>
      <c r="T305" s="15">
        <v>0</v>
      </c>
      <c r="U305" s="15">
        <v>42</v>
      </c>
      <c r="V305" s="18"/>
      <c r="W305" s="18"/>
      <c r="X305" s="30"/>
      <c r="Y305" s="30"/>
      <c r="Z305" s="30"/>
      <c r="AA305" s="30"/>
      <c r="AB305" s="34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</row>
    <row r="306" spans="1:41" s="53" customFormat="1" ht="20.25" customHeight="1">
      <c r="A306" s="47"/>
      <c r="B306" s="133"/>
      <c r="C306" s="107" t="s">
        <v>12</v>
      </c>
      <c r="D306" s="51"/>
      <c r="E306" s="52"/>
      <c r="F306" s="24">
        <f>SUM(F304:F305)</f>
        <v>22</v>
      </c>
      <c r="G306" s="24">
        <f>SUM(G304:G305)</f>
        <v>0</v>
      </c>
      <c r="H306" s="24">
        <f>SUM(H304:H305)</f>
        <v>0</v>
      </c>
      <c r="I306" s="25">
        <f>SUM(F306:H306)</f>
        <v>22</v>
      </c>
      <c r="J306" s="24">
        <f aca="true" t="shared" si="91" ref="J306:O306">SUM(J304:J305)</f>
        <v>3</v>
      </c>
      <c r="K306" s="24">
        <f t="shared" si="91"/>
        <v>0</v>
      </c>
      <c r="L306" s="24">
        <f t="shared" si="91"/>
        <v>4</v>
      </c>
      <c r="M306" s="24">
        <f t="shared" si="91"/>
        <v>0</v>
      </c>
      <c r="N306" s="24">
        <f t="shared" si="91"/>
        <v>0</v>
      </c>
      <c r="O306" s="24">
        <f t="shared" si="91"/>
        <v>15</v>
      </c>
      <c r="P306" s="24">
        <f>SUM(J306:O306)</f>
        <v>22</v>
      </c>
      <c r="Q306" s="24">
        <f>SUM(Q304:Q305)</f>
        <v>0</v>
      </c>
      <c r="R306" s="24">
        <f>SUM(R304:R305)</f>
        <v>0</v>
      </c>
      <c r="S306" s="24">
        <f>SUM(S304:S305)</f>
        <v>0</v>
      </c>
      <c r="T306" s="24">
        <f>SUM(T304:T305)</f>
        <v>0</v>
      </c>
      <c r="U306" s="24">
        <f>SUM(U304:U305)</f>
        <v>42</v>
      </c>
      <c r="V306" s="26">
        <f>IF(I306-Q306=0,"",IF(D306="",(P306+S306)/(I306-Q306),IF(AND(D306&lt;&gt;"",(P306+S306)/(I306-Q306)&gt;=50%),(P306+S306)/(I306-Q306),"")))</f>
        <v>1</v>
      </c>
      <c r="W306" s="26">
        <f>IF(I306=O306,"",IF(V306="",0,(P306+Q306+S306-O306)/(I306-O306)))</f>
        <v>1</v>
      </c>
      <c r="X306" s="49"/>
      <c r="Y306" s="49"/>
      <c r="Z306" s="49"/>
      <c r="AA306" s="49"/>
      <c r="AB306" s="50"/>
      <c r="AC306" s="49"/>
      <c r="AD306" s="49"/>
      <c r="AE306" s="49"/>
      <c r="AF306" s="49"/>
      <c r="AG306" s="49"/>
      <c r="AH306" s="49"/>
      <c r="AI306" s="49"/>
      <c r="AJ306" s="49"/>
      <c r="AK306" s="49"/>
      <c r="AL306" s="49"/>
      <c r="AM306" s="49"/>
      <c r="AN306" s="49"/>
      <c r="AO306" s="49"/>
    </row>
    <row r="307" spans="1:41" s="39" customFormat="1" ht="24" customHeight="1">
      <c r="A307" s="32"/>
      <c r="B307" s="129" t="s">
        <v>102</v>
      </c>
      <c r="C307" s="14" t="s">
        <v>2</v>
      </c>
      <c r="D307" s="15" t="s">
        <v>202</v>
      </c>
      <c r="E307" s="16" t="s">
        <v>238</v>
      </c>
      <c r="F307" s="15"/>
      <c r="G307" s="15"/>
      <c r="H307" s="15"/>
      <c r="I307" s="17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8"/>
      <c r="W307" s="18"/>
      <c r="X307" s="30"/>
      <c r="Y307" s="30"/>
      <c r="Z307" s="30"/>
      <c r="AA307" s="30"/>
      <c r="AB307" s="34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</row>
    <row r="308" spans="1:41" s="39" customFormat="1" ht="18" customHeight="1">
      <c r="A308" s="32">
        <v>36</v>
      </c>
      <c r="B308" s="136"/>
      <c r="C308" s="20" t="str">
        <f>IF(A308="","VARA",VLOOKUP(A308,'[1]varas'!$A$4:$B$67,2))</f>
        <v>3ª VT Jaboatão</v>
      </c>
      <c r="D308" s="15"/>
      <c r="E308" s="16"/>
      <c r="F308" s="15">
        <f>27+24+9+3</f>
        <v>63</v>
      </c>
      <c r="G308" s="15">
        <v>5</v>
      </c>
      <c r="H308" s="15">
        <v>1</v>
      </c>
      <c r="I308" s="17">
        <f>SUM(F308:H308)</f>
        <v>69</v>
      </c>
      <c r="J308" s="15">
        <v>19</v>
      </c>
      <c r="K308" s="15">
        <v>8</v>
      </c>
      <c r="L308" s="15">
        <v>9</v>
      </c>
      <c r="M308" s="15">
        <v>3</v>
      </c>
      <c r="N308" s="15">
        <v>0</v>
      </c>
      <c r="O308" s="15">
        <v>24</v>
      </c>
      <c r="P308" s="15">
        <f>SUM(J308:O308)</f>
        <v>63</v>
      </c>
      <c r="Q308" s="15">
        <v>4</v>
      </c>
      <c r="R308" s="15">
        <v>2</v>
      </c>
      <c r="S308" s="15">
        <v>0</v>
      </c>
      <c r="T308" s="15">
        <v>0</v>
      </c>
      <c r="U308" s="15">
        <v>75</v>
      </c>
      <c r="V308" s="18"/>
      <c r="W308" s="18"/>
      <c r="X308" s="30"/>
      <c r="Y308" s="30"/>
      <c r="Z308" s="30"/>
      <c r="AA308" s="30"/>
      <c r="AB308" s="34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</row>
    <row r="309" spans="1:41" s="39" customFormat="1" ht="21.75" customHeight="1">
      <c r="A309" s="32"/>
      <c r="B309" s="136"/>
      <c r="C309" s="21" t="s">
        <v>12</v>
      </c>
      <c r="D309" s="33"/>
      <c r="E309" s="23"/>
      <c r="F309" s="24">
        <f>SUM(F307:F308)</f>
        <v>63</v>
      </c>
      <c r="G309" s="24">
        <f>SUM(G307:G308)</f>
        <v>5</v>
      </c>
      <c r="H309" s="24">
        <f>SUM(H307:H308)</f>
        <v>1</v>
      </c>
      <c r="I309" s="40">
        <f>SUM(F309:H309)</f>
        <v>69</v>
      </c>
      <c r="J309" s="24">
        <f aca="true" t="shared" si="92" ref="J309:O309">SUM(J307:J308)</f>
        <v>19</v>
      </c>
      <c r="K309" s="24">
        <f t="shared" si="92"/>
        <v>8</v>
      </c>
      <c r="L309" s="24">
        <f t="shared" si="92"/>
        <v>9</v>
      </c>
      <c r="M309" s="24">
        <f t="shared" si="92"/>
        <v>3</v>
      </c>
      <c r="N309" s="24">
        <f t="shared" si="92"/>
        <v>0</v>
      </c>
      <c r="O309" s="24">
        <f t="shared" si="92"/>
        <v>24</v>
      </c>
      <c r="P309" s="24">
        <f>SUM(J309:O309)</f>
        <v>63</v>
      </c>
      <c r="Q309" s="24">
        <f>SUM(Q307:Q308)</f>
        <v>4</v>
      </c>
      <c r="R309" s="24">
        <f>SUM(R307:R308)</f>
        <v>2</v>
      </c>
      <c r="S309" s="24">
        <f>SUM(S307:S308)</f>
        <v>0</v>
      </c>
      <c r="T309" s="24">
        <f>SUM(T307:T308)</f>
        <v>0</v>
      </c>
      <c r="U309" s="24">
        <f>SUM(U307:U308)</f>
        <v>75</v>
      </c>
      <c r="V309" s="26">
        <f>IF(I309-Q309=0,"",IF(D309="",(P309+S309)/(I309-Q309),IF(AND(D309&lt;&gt;"",(P309+S309)/(I309-Q309)&gt;=50%),(P309+S309)/(I309-Q309),"")))</f>
        <v>0.9692307692307692</v>
      </c>
      <c r="W309" s="26">
        <f>IF(I309=O309,"",IF(V309="",0,(P309+Q309+S309-O309)/(I309-O309)))</f>
        <v>0.9555555555555556</v>
      </c>
      <c r="X309" s="30"/>
      <c r="Y309" s="30"/>
      <c r="Z309" s="30"/>
      <c r="AA309" s="30"/>
      <c r="AB309" s="34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</row>
    <row r="310" spans="1:41" s="39" customFormat="1" ht="24.75" customHeight="1">
      <c r="A310" s="32"/>
      <c r="B310" s="136" t="s">
        <v>103</v>
      </c>
      <c r="C310" s="14" t="s">
        <v>2</v>
      </c>
      <c r="D310" s="29" t="s">
        <v>226</v>
      </c>
      <c r="E310" s="16" t="s">
        <v>239</v>
      </c>
      <c r="F310" s="15"/>
      <c r="G310" s="15"/>
      <c r="H310" s="15"/>
      <c r="I310" s="17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8"/>
      <c r="W310" s="18"/>
      <c r="X310" s="30"/>
      <c r="Y310" s="30"/>
      <c r="Z310" s="30"/>
      <c r="AA310" s="30"/>
      <c r="AB310" s="34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</row>
    <row r="311" spans="1:41" s="39" customFormat="1" ht="21" customHeight="1">
      <c r="A311" s="32">
        <v>6</v>
      </c>
      <c r="B311" s="136"/>
      <c r="C311" s="20" t="str">
        <f>IF(A311="","VARA",VLOOKUP(A311,'[1]varas'!$A$4:$B$67,2))</f>
        <v>6ª VT Recife</v>
      </c>
      <c r="D311" s="15"/>
      <c r="E311" s="16"/>
      <c r="F311" s="15">
        <f>18+20+7</f>
        <v>45</v>
      </c>
      <c r="G311" s="15">
        <v>8</v>
      </c>
      <c r="H311" s="15">
        <v>14</v>
      </c>
      <c r="I311" s="17">
        <f>SUM(F311:H311)</f>
        <v>67</v>
      </c>
      <c r="J311" s="15">
        <v>27</v>
      </c>
      <c r="K311" s="15">
        <v>3</v>
      </c>
      <c r="L311" s="15">
        <v>7</v>
      </c>
      <c r="M311" s="15">
        <v>0</v>
      </c>
      <c r="N311" s="15">
        <v>0</v>
      </c>
      <c r="O311" s="15">
        <v>20</v>
      </c>
      <c r="P311" s="15">
        <f>SUM(J311:O311)</f>
        <v>57</v>
      </c>
      <c r="Q311" s="15">
        <v>0</v>
      </c>
      <c r="R311" s="15">
        <v>10</v>
      </c>
      <c r="S311" s="15">
        <v>0</v>
      </c>
      <c r="T311" s="15">
        <v>0</v>
      </c>
      <c r="U311" s="15">
        <v>78</v>
      </c>
      <c r="V311" s="18"/>
      <c r="W311" s="18"/>
      <c r="X311" s="30"/>
      <c r="Y311" s="30"/>
      <c r="Z311" s="30"/>
      <c r="AA311" s="30"/>
      <c r="AB311" s="34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</row>
    <row r="312" spans="1:41" s="53" customFormat="1" ht="20.25" customHeight="1">
      <c r="A312" s="47"/>
      <c r="B312" s="130"/>
      <c r="C312" s="21" t="s">
        <v>12</v>
      </c>
      <c r="D312" s="51"/>
      <c r="E312" s="52"/>
      <c r="F312" s="24">
        <f>SUM(F310:F311)</f>
        <v>45</v>
      </c>
      <c r="G312" s="24">
        <f>SUM(G310:G311)</f>
        <v>8</v>
      </c>
      <c r="H312" s="24">
        <f>SUM(H310:H311)</f>
        <v>14</v>
      </c>
      <c r="I312" s="25">
        <f>SUM(F312:H312)</f>
        <v>67</v>
      </c>
      <c r="J312" s="24">
        <f aca="true" t="shared" si="93" ref="J312:O312">SUM(J310:J311)</f>
        <v>27</v>
      </c>
      <c r="K312" s="24">
        <f t="shared" si="93"/>
        <v>3</v>
      </c>
      <c r="L312" s="24">
        <f t="shared" si="93"/>
        <v>7</v>
      </c>
      <c r="M312" s="24">
        <f t="shared" si="93"/>
        <v>0</v>
      </c>
      <c r="N312" s="24">
        <f t="shared" si="93"/>
        <v>0</v>
      </c>
      <c r="O312" s="24">
        <f t="shared" si="93"/>
        <v>20</v>
      </c>
      <c r="P312" s="24">
        <f>SUM(J312:O312)</f>
        <v>57</v>
      </c>
      <c r="Q312" s="24">
        <f>SUM(Q310:Q311)</f>
        <v>0</v>
      </c>
      <c r="R312" s="24">
        <f>SUM(R310:R311)</f>
        <v>10</v>
      </c>
      <c r="S312" s="24">
        <f>SUM(S310:S311)</f>
        <v>0</v>
      </c>
      <c r="T312" s="24">
        <f>SUM(T310:T311)</f>
        <v>0</v>
      </c>
      <c r="U312" s="24">
        <f>SUM(U310:U311)</f>
        <v>78</v>
      </c>
      <c r="V312" s="26">
        <f>IF(I312-Q312=0,"",IF(D312="",(P312+S312)/(I312-Q312),IF(AND(D312&lt;&gt;"",(P312+S312)/(I312-Q312)&gt;=50%),(P312+S312)/(I312-Q312),"")))</f>
        <v>0.8507462686567164</v>
      </c>
      <c r="W312" s="26">
        <f>IF(I312=O312,"",IF(V312="",0,(P312+Q312+S312-O312)/(I312-O312)))</f>
        <v>0.7872340425531915</v>
      </c>
      <c r="X312" s="49"/>
      <c r="Y312" s="49"/>
      <c r="Z312" s="49"/>
      <c r="AA312" s="49"/>
      <c r="AB312" s="50"/>
      <c r="AC312" s="49"/>
      <c r="AD312" s="49"/>
      <c r="AE312" s="49"/>
      <c r="AF312" s="49"/>
      <c r="AG312" s="49"/>
      <c r="AH312" s="49"/>
      <c r="AI312" s="49"/>
      <c r="AJ312" s="49"/>
      <c r="AK312" s="49"/>
      <c r="AL312" s="49"/>
      <c r="AM312" s="49"/>
      <c r="AN312" s="49"/>
      <c r="AO312" s="49"/>
    </row>
    <row r="313" spans="1:41" s="39" customFormat="1" ht="22.5" customHeight="1">
      <c r="A313" s="32"/>
      <c r="B313" s="137" t="s">
        <v>104</v>
      </c>
      <c r="C313" s="105" t="s">
        <v>155</v>
      </c>
      <c r="D313" s="29"/>
      <c r="E313" s="16" t="s">
        <v>27</v>
      </c>
      <c r="F313" s="15"/>
      <c r="G313" s="15"/>
      <c r="H313" s="15"/>
      <c r="I313" s="17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8"/>
      <c r="W313" s="18"/>
      <c r="X313" s="30"/>
      <c r="Y313" s="30"/>
      <c r="Z313" s="30"/>
      <c r="AA313" s="30"/>
      <c r="AB313" s="34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</row>
    <row r="314" spans="1:41" s="39" customFormat="1" ht="18.75" customHeight="1">
      <c r="A314" s="32">
        <v>15</v>
      </c>
      <c r="B314" s="138"/>
      <c r="C314" s="106" t="str">
        <f>IF(A314="","VARA",VLOOKUP(A314,'[1]varas'!$A$4:$B$67,2))</f>
        <v>15ª VT Recife</v>
      </c>
      <c r="D314" s="29"/>
      <c r="E314" s="16"/>
      <c r="F314" s="15">
        <v>0</v>
      </c>
      <c r="G314" s="15">
        <v>0</v>
      </c>
      <c r="H314" s="15">
        <v>3</v>
      </c>
      <c r="I314" s="17">
        <f>SUM(F314:H314)</f>
        <v>3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15">
        <f>SUM(J314:O314)</f>
        <v>0</v>
      </c>
      <c r="Q314" s="15">
        <v>0</v>
      </c>
      <c r="R314" s="15">
        <v>3</v>
      </c>
      <c r="S314" s="15">
        <v>0</v>
      </c>
      <c r="T314" s="15">
        <v>0</v>
      </c>
      <c r="U314" s="15">
        <v>0</v>
      </c>
      <c r="V314" s="18"/>
      <c r="W314" s="18"/>
      <c r="X314" s="30"/>
      <c r="Y314" s="30"/>
      <c r="Z314" s="30"/>
      <c r="AA314" s="30"/>
      <c r="AB314" s="34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</row>
    <row r="315" spans="1:41" s="39" customFormat="1" ht="21.75" customHeight="1">
      <c r="A315" s="32">
        <v>23</v>
      </c>
      <c r="B315" s="138"/>
      <c r="C315" s="106" t="str">
        <f>IF(A315="","VARA",VLOOKUP(A315,'[1]varas'!$A$4:$B$67,2))</f>
        <v>23ª VT Recife</v>
      </c>
      <c r="D315" s="29"/>
      <c r="E315" s="16"/>
      <c r="F315" s="15">
        <f>66+43+24+10</f>
        <v>143</v>
      </c>
      <c r="G315" s="15">
        <v>12</v>
      </c>
      <c r="H315" s="15">
        <v>44</v>
      </c>
      <c r="I315" s="17">
        <f>SUM(F315:H315)</f>
        <v>199</v>
      </c>
      <c r="J315" s="15">
        <v>19</v>
      </c>
      <c r="K315" s="15">
        <v>19</v>
      </c>
      <c r="L315" s="15">
        <v>24</v>
      </c>
      <c r="M315" s="15">
        <v>10</v>
      </c>
      <c r="N315" s="15">
        <v>0</v>
      </c>
      <c r="O315" s="15">
        <v>43</v>
      </c>
      <c r="P315" s="15">
        <f>SUM(J315:O315)</f>
        <v>115</v>
      </c>
      <c r="Q315" s="15">
        <v>15</v>
      </c>
      <c r="R315" s="15">
        <v>69</v>
      </c>
      <c r="S315" s="15">
        <v>0</v>
      </c>
      <c r="T315" s="15">
        <v>0</v>
      </c>
      <c r="U315" s="15">
        <v>192</v>
      </c>
      <c r="V315" s="18"/>
      <c r="W315" s="18"/>
      <c r="X315" s="30"/>
      <c r="Y315" s="30"/>
      <c r="Z315" s="30"/>
      <c r="AA315" s="30"/>
      <c r="AB315" s="34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</row>
    <row r="316" spans="1:41" s="53" customFormat="1" ht="19.5" customHeight="1">
      <c r="A316" s="47"/>
      <c r="B316" s="133"/>
      <c r="C316" s="106" t="s">
        <v>12</v>
      </c>
      <c r="D316" s="24"/>
      <c r="E316" s="48"/>
      <c r="F316" s="24">
        <f>SUM(F313:F315)</f>
        <v>143</v>
      </c>
      <c r="G316" s="24">
        <f>SUM(G313:G315)</f>
        <v>12</v>
      </c>
      <c r="H316" s="24">
        <f>SUM(H313:H315)</f>
        <v>47</v>
      </c>
      <c r="I316" s="40">
        <f>SUM(F316:H316)</f>
        <v>202</v>
      </c>
      <c r="J316" s="24">
        <f aca="true" t="shared" si="94" ref="J316:O316">SUM(J313:J315)</f>
        <v>19</v>
      </c>
      <c r="K316" s="24">
        <f t="shared" si="94"/>
        <v>19</v>
      </c>
      <c r="L316" s="24">
        <f t="shared" si="94"/>
        <v>24</v>
      </c>
      <c r="M316" s="24">
        <f t="shared" si="94"/>
        <v>10</v>
      </c>
      <c r="N316" s="24">
        <f t="shared" si="94"/>
        <v>0</v>
      </c>
      <c r="O316" s="24">
        <f t="shared" si="94"/>
        <v>43</v>
      </c>
      <c r="P316" s="24">
        <f>SUM(J316:O316)</f>
        <v>115</v>
      </c>
      <c r="Q316" s="24">
        <f>SUM(Q313:Q315)</f>
        <v>15</v>
      </c>
      <c r="R316" s="24">
        <f>SUM(R313:R315)</f>
        <v>72</v>
      </c>
      <c r="S316" s="24">
        <f>SUM(S313:S315)</f>
        <v>0</v>
      </c>
      <c r="T316" s="24">
        <f>SUM(T313:T315)</f>
        <v>0</v>
      </c>
      <c r="U316" s="24">
        <f>SUM(U313:U315)</f>
        <v>192</v>
      </c>
      <c r="V316" s="26">
        <f>IF(I316-Q316=0,"",IF(D316="",(P316+S316)/(I316-Q316),IF(AND(D316&lt;&gt;"",(P316+S316)/(I316-Q316)&gt;=50%),(P316+S316)/(I316-Q316),"")))</f>
        <v>0.6149732620320856</v>
      </c>
      <c r="W316" s="26">
        <f>IF(I316=O316,"",IF(V316="",0,(P316+Q316+S316-O316)/(I316-O316)))</f>
        <v>0.5471698113207547</v>
      </c>
      <c r="X316" s="49"/>
      <c r="Y316" s="49"/>
      <c r="Z316" s="49"/>
      <c r="AA316" s="49"/>
      <c r="AB316" s="50"/>
      <c r="AC316" s="49"/>
      <c r="AD316" s="49"/>
      <c r="AE316" s="49"/>
      <c r="AF316" s="49"/>
      <c r="AG316" s="49"/>
      <c r="AH316" s="49"/>
      <c r="AI316" s="49"/>
      <c r="AJ316" s="49"/>
      <c r="AK316" s="49"/>
      <c r="AL316" s="49"/>
      <c r="AM316" s="49"/>
      <c r="AN316" s="49"/>
      <c r="AO316" s="49"/>
    </row>
    <row r="317" spans="1:41" s="39" customFormat="1" ht="26.25" customHeight="1">
      <c r="A317" s="32"/>
      <c r="B317" s="137" t="s">
        <v>105</v>
      </c>
      <c r="C317" s="105" t="s">
        <v>2</v>
      </c>
      <c r="D317" s="29"/>
      <c r="E317" s="16" t="s">
        <v>27</v>
      </c>
      <c r="F317" s="15"/>
      <c r="G317" s="15"/>
      <c r="H317" s="15"/>
      <c r="I317" s="17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8"/>
      <c r="W317" s="18"/>
      <c r="X317" s="30"/>
      <c r="Y317" s="30"/>
      <c r="Z317" s="30"/>
      <c r="AA317" s="30"/>
      <c r="AB317" s="34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</row>
    <row r="318" spans="1:41" s="39" customFormat="1" ht="21.75" customHeight="1">
      <c r="A318" s="32">
        <v>13</v>
      </c>
      <c r="B318" s="138"/>
      <c r="C318" s="106" t="str">
        <f>IF(A318="","VARA",VLOOKUP(A318,'[1]varas'!$A$4:$B$67,2))</f>
        <v>13ª VT Recife</v>
      </c>
      <c r="D318" s="29"/>
      <c r="E318" s="16"/>
      <c r="F318" s="15">
        <f>41+31+8</f>
        <v>80</v>
      </c>
      <c r="G318" s="15">
        <v>6</v>
      </c>
      <c r="H318" s="15">
        <v>0</v>
      </c>
      <c r="I318" s="17">
        <f>SUM(F318:H318)</f>
        <v>86</v>
      </c>
      <c r="J318" s="15">
        <v>32</v>
      </c>
      <c r="K318" s="15">
        <v>3</v>
      </c>
      <c r="L318" s="15">
        <v>3</v>
      </c>
      <c r="M318" s="15">
        <v>4</v>
      </c>
      <c r="N318" s="15">
        <v>0</v>
      </c>
      <c r="O318" s="15">
        <v>31</v>
      </c>
      <c r="P318" s="15">
        <f>SUM(J318:O318)</f>
        <v>73</v>
      </c>
      <c r="Q318" s="15">
        <v>12</v>
      </c>
      <c r="R318" s="15">
        <v>0</v>
      </c>
      <c r="S318" s="15">
        <v>0</v>
      </c>
      <c r="T318" s="15">
        <v>1</v>
      </c>
      <c r="U318" s="15">
        <v>170</v>
      </c>
      <c r="V318" s="18"/>
      <c r="W318" s="18"/>
      <c r="X318" s="30"/>
      <c r="Y318" s="30"/>
      <c r="Z318" s="30"/>
      <c r="AA318" s="30"/>
      <c r="AB318" s="34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</row>
    <row r="319" spans="1:41" s="39" customFormat="1" ht="21" customHeight="1">
      <c r="A319" s="32"/>
      <c r="B319" s="133"/>
      <c r="C319" s="107" t="s">
        <v>12</v>
      </c>
      <c r="D319" s="33"/>
      <c r="E319" s="23"/>
      <c r="F319" s="24">
        <f>SUM(F317:F318)</f>
        <v>80</v>
      </c>
      <c r="G319" s="24">
        <f>SUM(G317:G318)</f>
        <v>6</v>
      </c>
      <c r="H319" s="24">
        <f>SUM(H317:H318)</f>
        <v>0</v>
      </c>
      <c r="I319" s="40">
        <f>SUM(F319:H319)</f>
        <v>86</v>
      </c>
      <c r="J319" s="24">
        <f aca="true" t="shared" si="95" ref="J319:O319">SUM(J317:J318)</f>
        <v>32</v>
      </c>
      <c r="K319" s="24">
        <f t="shared" si="95"/>
        <v>3</v>
      </c>
      <c r="L319" s="24">
        <f t="shared" si="95"/>
        <v>3</v>
      </c>
      <c r="M319" s="24">
        <f t="shared" si="95"/>
        <v>4</v>
      </c>
      <c r="N319" s="24">
        <f t="shared" si="95"/>
        <v>0</v>
      </c>
      <c r="O319" s="24">
        <f t="shared" si="95"/>
        <v>31</v>
      </c>
      <c r="P319" s="24">
        <f>SUM(J319:O319)</f>
        <v>73</v>
      </c>
      <c r="Q319" s="24">
        <f>SUM(Q317:Q318)</f>
        <v>12</v>
      </c>
      <c r="R319" s="24">
        <f>SUM(R317:R318)</f>
        <v>0</v>
      </c>
      <c r="S319" s="24">
        <f>SUM(S317:S318)</f>
        <v>0</v>
      </c>
      <c r="T319" s="24">
        <f>SUM(T317:T318)</f>
        <v>1</v>
      </c>
      <c r="U319" s="24">
        <f>SUM(U317:U318)</f>
        <v>170</v>
      </c>
      <c r="V319" s="26">
        <f>IF(I319-Q319=0,"",IF(D319="",(P319+S319)/(I319-Q319),IF(AND(D319&lt;&gt;"",(P319+S319)/(I319-Q319)&gt;=50%),(P319+S319)/(I319-Q319),"")))</f>
        <v>0.9864864864864865</v>
      </c>
      <c r="W319" s="26">
        <f>IF(I319=O319,"",IF(V319="",0,(P319+Q319+S319-O319)/(I319-O319)))</f>
        <v>0.9818181818181818</v>
      </c>
      <c r="X319" s="30"/>
      <c r="Y319" s="30"/>
      <c r="Z319" s="30"/>
      <c r="AA319" s="30"/>
      <c r="AB319" s="34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</row>
    <row r="320" spans="1:41" s="39" customFormat="1" ht="23.25" customHeight="1">
      <c r="A320" s="32"/>
      <c r="B320" s="129" t="s">
        <v>106</v>
      </c>
      <c r="C320" s="20" t="s">
        <v>2</v>
      </c>
      <c r="D320" s="29" t="s">
        <v>186</v>
      </c>
      <c r="E320" s="16" t="s">
        <v>187</v>
      </c>
      <c r="F320" s="15"/>
      <c r="G320" s="15"/>
      <c r="H320" s="15"/>
      <c r="I320" s="17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8"/>
      <c r="W320" s="18"/>
      <c r="X320" s="30"/>
      <c r="Y320" s="30"/>
      <c r="Z320" s="30"/>
      <c r="AA320" s="30"/>
      <c r="AB320" s="34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</row>
    <row r="321" spans="1:41" s="39" customFormat="1" ht="20.25" customHeight="1">
      <c r="A321" s="32">
        <v>21</v>
      </c>
      <c r="B321" s="129"/>
      <c r="C321" s="20" t="str">
        <f>IF(A321="","VARA",VLOOKUP(A321,'[1]varas'!$A$4:$B$67,2))</f>
        <v>21ª VT Recife</v>
      </c>
      <c r="D321" s="15"/>
      <c r="E321" s="16"/>
      <c r="F321" s="15">
        <v>0</v>
      </c>
      <c r="G321" s="15">
        <v>0</v>
      </c>
      <c r="H321" s="15">
        <v>0</v>
      </c>
      <c r="I321" s="17">
        <f>SUM(F321:H321)</f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15">
        <v>0</v>
      </c>
      <c r="P321" s="15">
        <f>SUM(J321:O321)</f>
        <v>0</v>
      </c>
      <c r="Q321" s="15">
        <v>0</v>
      </c>
      <c r="R321" s="15">
        <v>0</v>
      </c>
      <c r="S321" s="15">
        <v>0</v>
      </c>
      <c r="T321" s="15">
        <v>0</v>
      </c>
      <c r="U321" s="15">
        <v>0</v>
      </c>
      <c r="V321" s="18"/>
      <c r="W321" s="18"/>
      <c r="X321" s="30"/>
      <c r="Y321" s="30"/>
      <c r="Z321" s="30"/>
      <c r="AA321" s="30"/>
      <c r="AB321" s="34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</row>
    <row r="322" spans="1:41" s="53" customFormat="1" ht="27.75" customHeight="1">
      <c r="A322" s="47"/>
      <c r="B322" s="136"/>
      <c r="C322" s="21" t="s">
        <v>12</v>
      </c>
      <c r="D322" s="51"/>
      <c r="E322" s="52"/>
      <c r="F322" s="24">
        <f>SUM(F320:F321)</f>
        <v>0</v>
      </c>
      <c r="G322" s="24">
        <f>SUM(G320:G321)</f>
        <v>0</v>
      </c>
      <c r="H322" s="24">
        <f>SUM(H320:H321)</f>
        <v>0</v>
      </c>
      <c r="I322" s="25">
        <f>SUM(F322:H322)</f>
        <v>0</v>
      </c>
      <c r="J322" s="24">
        <f aca="true" t="shared" si="96" ref="J322:O322">SUM(J320:J321)</f>
        <v>0</v>
      </c>
      <c r="K322" s="24">
        <f t="shared" si="96"/>
        <v>0</v>
      </c>
      <c r="L322" s="24">
        <f t="shared" si="96"/>
        <v>0</v>
      </c>
      <c r="M322" s="24">
        <f t="shared" si="96"/>
        <v>0</v>
      </c>
      <c r="N322" s="24">
        <f t="shared" si="96"/>
        <v>0</v>
      </c>
      <c r="O322" s="24">
        <f t="shared" si="96"/>
        <v>0</v>
      </c>
      <c r="P322" s="24">
        <f>SUM(J322:O322)</f>
        <v>0</v>
      </c>
      <c r="Q322" s="24">
        <f>SUM(Q320:Q321)</f>
        <v>0</v>
      </c>
      <c r="R322" s="24">
        <f>SUM(R320:R321)</f>
        <v>0</v>
      </c>
      <c r="S322" s="24">
        <f>SUM(S320:S321)</f>
        <v>0</v>
      </c>
      <c r="T322" s="24">
        <f>SUM(T320:T321)</f>
        <v>0</v>
      </c>
      <c r="U322" s="24">
        <f>SUM(U320:U321)</f>
        <v>0</v>
      </c>
      <c r="V322" s="26">
        <f>IF(I322-Q322=0,"",IF(D322="",(P322+S322)/(I322-Q322),IF(AND(D322&lt;&gt;"",(P322+S322)/(I322-Q322)&gt;=50%),(P322+S322)/(I322-Q322),"")))</f>
      </c>
      <c r="W322" s="26">
        <f>IF(I322=O322,"",IF(V322="",0,(P322+Q322+S322-O322)/(I322-O322)))</f>
      </c>
      <c r="X322" s="49"/>
      <c r="Y322" s="49"/>
      <c r="Z322" s="49"/>
      <c r="AA322" s="49"/>
      <c r="AB322" s="50"/>
      <c r="AC322" s="49"/>
      <c r="AD322" s="49"/>
      <c r="AE322" s="49"/>
      <c r="AF322" s="49"/>
      <c r="AG322" s="49"/>
      <c r="AH322" s="49"/>
      <c r="AI322" s="49"/>
      <c r="AJ322" s="49"/>
      <c r="AK322" s="49"/>
      <c r="AL322" s="49"/>
      <c r="AM322" s="49"/>
      <c r="AN322" s="49"/>
      <c r="AO322" s="49"/>
    </row>
    <row r="323" spans="1:41" s="39" customFormat="1" ht="22.5" customHeight="1">
      <c r="A323" s="32"/>
      <c r="B323" s="136" t="s">
        <v>107</v>
      </c>
      <c r="C323" s="14" t="s">
        <v>2</v>
      </c>
      <c r="D323" s="29"/>
      <c r="E323" s="16" t="s">
        <v>27</v>
      </c>
      <c r="F323" s="15"/>
      <c r="G323" s="15"/>
      <c r="H323" s="15"/>
      <c r="I323" s="17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8"/>
      <c r="W323" s="18"/>
      <c r="X323" s="30"/>
      <c r="Y323" s="30"/>
      <c r="Z323" s="30"/>
      <c r="AA323" s="30"/>
      <c r="AB323" s="34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</row>
    <row r="324" spans="1:41" s="39" customFormat="1" ht="25.5" customHeight="1">
      <c r="A324" s="32">
        <v>1</v>
      </c>
      <c r="B324" s="136"/>
      <c r="C324" s="20" t="str">
        <f>IF(A324="","VARA",VLOOKUP(A324,'[1]varas'!$A$4:$B$67,2))</f>
        <v>1ª VT Recife</v>
      </c>
      <c r="D324" s="29"/>
      <c r="E324" s="16"/>
      <c r="F324" s="15">
        <f>89+86+18+13</f>
        <v>206</v>
      </c>
      <c r="G324" s="15">
        <v>0</v>
      </c>
      <c r="H324" s="15">
        <v>6</v>
      </c>
      <c r="I324" s="17">
        <f>SUM(F324:H324)</f>
        <v>212</v>
      </c>
      <c r="J324" s="15">
        <v>52</v>
      </c>
      <c r="K324" s="15">
        <v>28</v>
      </c>
      <c r="L324" s="15">
        <v>18</v>
      </c>
      <c r="M324" s="15">
        <v>13</v>
      </c>
      <c r="N324" s="15">
        <v>0</v>
      </c>
      <c r="O324" s="15">
        <v>86</v>
      </c>
      <c r="P324" s="15">
        <f>SUM(J324:O324)</f>
        <v>197</v>
      </c>
      <c r="Q324" s="15">
        <v>15</v>
      </c>
      <c r="R324" s="15">
        <v>0</v>
      </c>
      <c r="S324" s="15">
        <v>0</v>
      </c>
      <c r="T324" s="15">
        <v>0</v>
      </c>
      <c r="U324" s="15">
        <v>179</v>
      </c>
      <c r="V324" s="18"/>
      <c r="W324" s="18"/>
      <c r="X324" s="30"/>
      <c r="Y324" s="30"/>
      <c r="Z324" s="30"/>
      <c r="AA324" s="30"/>
      <c r="AB324" s="34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</row>
    <row r="325" spans="1:41" s="39" customFormat="1" ht="28.5" customHeight="1">
      <c r="A325" s="32"/>
      <c r="B325" s="136"/>
      <c r="C325" s="21" t="s">
        <v>12</v>
      </c>
      <c r="D325" s="33"/>
      <c r="E325" s="23"/>
      <c r="F325" s="24">
        <f>SUM(F323:F324)</f>
        <v>206</v>
      </c>
      <c r="G325" s="24">
        <f>SUM(G323:G324)</f>
        <v>0</v>
      </c>
      <c r="H325" s="24">
        <f>SUM(H323:H324)</f>
        <v>6</v>
      </c>
      <c r="I325" s="40">
        <f>SUM(F325:H325)</f>
        <v>212</v>
      </c>
      <c r="J325" s="24">
        <f aca="true" t="shared" si="97" ref="J325:O325">SUM(J323:J324)</f>
        <v>52</v>
      </c>
      <c r="K325" s="24">
        <f t="shared" si="97"/>
        <v>28</v>
      </c>
      <c r="L325" s="24">
        <f t="shared" si="97"/>
        <v>18</v>
      </c>
      <c r="M325" s="24">
        <f t="shared" si="97"/>
        <v>13</v>
      </c>
      <c r="N325" s="24">
        <f t="shared" si="97"/>
        <v>0</v>
      </c>
      <c r="O325" s="24">
        <f t="shared" si="97"/>
        <v>86</v>
      </c>
      <c r="P325" s="24">
        <f>SUM(J325:O325)</f>
        <v>197</v>
      </c>
      <c r="Q325" s="24">
        <f>SUM(Q323:Q324)</f>
        <v>15</v>
      </c>
      <c r="R325" s="24">
        <f>SUM(R323:R324)</f>
        <v>0</v>
      </c>
      <c r="S325" s="24">
        <f>SUM(S323:S324)</f>
        <v>0</v>
      </c>
      <c r="T325" s="24">
        <f>SUM(T323:T324)</f>
        <v>0</v>
      </c>
      <c r="U325" s="24">
        <f>SUM(U323:U324)</f>
        <v>179</v>
      </c>
      <c r="V325" s="26">
        <f>IF(I325-Q325=0,"",IF(D325="",(P325+S325)/(I325-Q325),IF(AND(D325&lt;&gt;"",(P325+S325)/(I325-Q325)&gt;=50%),(P325+S325)/(I325-Q325),"")))</f>
        <v>1</v>
      </c>
      <c r="W325" s="26">
        <f>IF(I325=O325,"",IF(V325="",0,(P325+Q325+S325-O325)/(I325-O325)))</f>
        <v>1</v>
      </c>
      <c r="X325" s="30"/>
      <c r="Y325" s="30"/>
      <c r="Z325" s="30"/>
      <c r="AA325" s="30"/>
      <c r="AB325" s="34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</row>
    <row r="326" spans="1:41" s="39" customFormat="1" ht="24.75" customHeight="1">
      <c r="A326" s="32"/>
      <c r="B326" s="143" t="s">
        <v>181</v>
      </c>
      <c r="C326" s="109" t="s">
        <v>182</v>
      </c>
      <c r="D326" s="103"/>
      <c r="E326" s="91" t="s">
        <v>27</v>
      </c>
      <c r="F326" s="92"/>
      <c r="G326" s="92"/>
      <c r="H326" s="92"/>
      <c r="I326" s="93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4"/>
      <c r="W326" s="94"/>
      <c r="X326" s="30"/>
      <c r="Y326" s="30"/>
      <c r="Z326" s="30"/>
      <c r="AA326" s="30"/>
      <c r="AB326" s="34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</row>
    <row r="327" spans="1:41" s="39" customFormat="1" ht="24.75" customHeight="1">
      <c r="A327" s="32">
        <v>35</v>
      </c>
      <c r="B327" s="144"/>
      <c r="C327" s="110" t="str">
        <f>IF(A327="","VARA",VLOOKUP(A327,'[1]varas'!$A$4:$B$67,2))</f>
        <v>2ª VT Jaboatão</v>
      </c>
      <c r="D327" s="103"/>
      <c r="E327" s="91"/>
      <c r="F327" s="92">
        <f>33+15+11+6</f>
        <v>65</v>
      </c>
      <c r="G327" s="92">
        <v>0</v>
      </c>
      <c r="H327" s="92">
        <v>0</v>
      </c>
      <c r="I327" s="93">
        <f>SUM(F327:H327)</f>
        <v>65</v>
      </c>
      <c r="J327" s="92">
        <v>33</v>
      </c>
      <c r="K327" s="92">
        <v>0</v>
      </c>
      <c r="L327" s="92">
        <v>11</v>
      </c>
      <c r="M327" s="92">
        <v>6</v>
      </c>
      <c r="N327" s="92">
        <v>0</v>
      </c>
      <c r="O327" s="92">
        <v>15</v>
      </c>
      <c r="P327" s="92">
        <f>SUM(J327:O327)</f>
        <v>65</v>
      </c>
      <c r="Q327" s="92">
        <v>0</v>
      </c>
      <c r="R327" s="92">
        <v>0</v>
      </c>
      <c r="S327" s="92">
        <v>0</v>
      </c>
      <c r="T327" s="92">
        <v>0</v>
      </c>
      <c r="U327" s="92">
        <v>54</v>
      </c>
      <c r="V327" s="94"/>
      <c r="W327" s="94"/>
      <c r="X327" s="30"/>
      <c r="Y327" s="30"/>
      <c r="Z327" s="30"/>
      <c r="AA327" s="30"/>
      <c r="AB327" s="34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</row>
    <row r="328" spans="1:41" s="39" customFormat="1" ht="21.75" customHeight="1">
      <c r="A328" s="32"/>
      <c r="B328" s="145"/>
      <c r="C328" s="111" t="s">
        <v>12</v>
      </c>
      <c r="D328" s="97"/>
      <c r="E328" s="98"/>
      <c r="F328" s="99">
        <f>SUM(F326:F327)</f>
        <v>65</v>
      </c>
      <c r="G328" s="99">
        <f>SUM(G326:G327)</f>
        <v>0</v>
      </c>
      <c r="H328" s="99">
        <f>SUM(H326:H327)</f>
        <v>0</v>
      </c>
      <c r="I328" s="100">
        <f>SUM(F328:H328)</f>
        <v>65</v>
      </c>
      <c r="J328" s="99">
        <f aca="true" t="shared" si="98" ref="J328:O328">SUM(J326:J327)</f>
        <v>33</v>
      </c>
      <c r="K328" s="99">
        <f t="shared" si="98"/>
        <v>0</v>
      </c>
      <c r="L328" s="99">
        <f t="shared" si="98"/>
        <v>11</v>
      </c>
      <c r="M328" s="99">
        <f t="shared" si="98"/>
        <v>6</v>
      </c>
      <c r="N328" s="99">
        <f t="shared" si="98"/>
        <v>0</v>
      </c>
      <c r="O328" s="99">
        <f t="shared" si="98"/>
        <v>15</v>
      </c>
      <c r="P328" s="99">
        <f>SUM(J328:O328)</f>
        <v>65</v>
      </c>
      <c r="Q328" s="99">
        <f>SUM(Q326:Q327)</f>
        <v>0</v>
      </c>
      <c r="R328" s="99">
        <f>SUM(R326:R327)</f>
        <v>0</v>
      </c>
      <c r="S328" s="99">
        <f>SUM(S326:S327)</f>
        <v>0</v>
      </c>
      <c r="T328" s="99">
        <f>SUM(T326:T327)</f>
        <v>0</v>
      </c>
      <c r="U328" s="99">
        <f>SUM(U326:U327)</f>
        <v>54</v>
      </c>
      <c r="V328" s="101">
        <f>IF(I328-Q328=0,"",IF(D328="",(P328+S328)/(I328-Q328),IF(AND(D328&lt;&gt;"",(P328+S328)/(I328-Q328)&gt;=50%),(P328+S328)/(I328-Q328),"")))</f>
        <v>1</v>
      </c>
      <c r="W328" s="101">
        <f>IF(I328=O328,"",IF(V328="",0,(P328+Q328+S328-O328)/(I328-O328)))</f>
        <v>1</v>
      </c>
      <c r="X328" s="30"/>
      <c r="Y328" s="30"/>
      <c r="Z328" s="30"/>
      <c r="AA328" s="30"/>
      <c r="AB328" s="34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</row>
    <row r="329" spans="1:41" s="39" customFormat="1" ht="24" customHeight="1">
      <c r="A329" s="32"/>
      <c r="B329" s="136" t="s">
        <v>108</v>
      </c>
      <c r="C329" s="14" t="s">
        <v>2</v>
      </c>
      <c r="D329" s="29" t="s">
        <v>199</v>
      </c>
      <c r="E329" s="16" t="s">
        <v>240</v>
      </c>
      <c r="F329" s="15"/>
      <c r="G329" s="15"/>
      <c r="H329" s="15"/>
      <c r="I329" s="17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8"/>
      <c r="W329" s="18"/>
      <c r="X329" s="30"/>
      <c r="Y329" s="30"/>
      <c r="Z329" s="30"/>
      <c r="AA329" s="30"/>
      <c r="AB329" s="34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</row>
    <row r="330" spans="1:41" s="39" customFormat="1" ht="20.25" customHeight="1">
      <c r="A330" s="32">
        <v>16</v>
      </c>
      <c r="B330" s="136"/>
      <c r="C330" s="20" t="str">
        <f>IF(A330="","VARA",VLOOKUP(A330,'[1]varas'!$A$4:$B$67,2))</f>
        <v>16ª VT Recife</v>
      </c>
      <c r="D330" s="15"/>
      <c r="E330" s="16"/>
      <c r="F330" s="15">
        <f>37+24+6+2</f>
        <v>69</v>
      </c>
      <c r="G330" s="15">
        <v>28</v>
      </c>
      <c r="H330" s="15">
        <v>17</v>
      </c>
      <c r="I330" s="17">
        <f>SUM(F330:H330)</f>
        <v>114</v>
      </c>
      <c r="J330" s="15">
        <v>16</v>
      </c>
      <c r="K330" s="15">
        <v>6</v>
      </c>
      <c r="L330" s="15">
        <v>6</v>
      </c>
      <c r="M330" s="15">
        <v>2</v>
      </c>
      <c r="N330" s="15">
        <v>0</v>
      </c>
      <c r="O330" s="15">
        <v>24</v>
      </c>
      <c r="P330" s="15">
        <f>SUM(J330:O330)</f>
        <v>54</v>
      </c>
      <c r="Q330" s="15">
        <v>20</v>
      </c>
      <c r="R330" s="15">
        <v>39</v>
      </c>
      <c r="S330" s="15">
        <v>0</v>
      </c>
      <c r="T330" s="15">
        <v>1</v>
      </c>
      <c r="U330" s="15">
        <v>145</v>
      </c>
      <c r="V330" s="18"/>
      <c r="W330" s="18"/>
      <c r="X330" s="30"/>
      <c r="Y330" s="30"/>
      <c r="Z330" s="30"/>
      <c r="AA330" s="30"/>
      <c r="AB330" s="34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</row>
    <row r="331" spans="1:41" s="53" customFormat="1" ht="19.5" customHeight="1">
      <c r="A331" s="47"/>
      <c r="B331" s="136"/>
      <c r="C331" s="21" t="s">
        <v>12</v>
      </c>
      <c r="D331" s="51"/>
      <c r="E331" s="52"/>
      <c r="F331" s="24">
        <f>SUM(F329:F330)</f>
        <v>69</v>
      </c>
      <c r="G331" s="24">
        <f>SUM(G329:G330)</f>
        <v>28</v>
      </c>
      <c r="H331" s="24">
        <f>SUM(H329:H330)</f>
        <v>17</v>
      </c>
      <c r="I331" s="25">
        <f>SUM(F331:H331)</f>
        <v>114</v>
      </c>
      <c r="J331" s="24">
        <f aca="true" t="shared" si="99" ref="J331:O331">SUM(J329:J330)</f>
        <v>16</v>
      </c>
      <c r="K331" s="24">
        <f t="shared" si="99"/>
        <v>6</v>
      </c>
      <c r="L331" s="24">
        <f t="shared" si="99"/>
        <v>6</v>
      </c>
      <c r="M331" s="24">
        <f t="shared" si="99"/>
        <v>2</v>
      </c>
      <c r="N331" s="24">
        <f t="shared" si="99"/>
        <v>0</v>
      </c>
      <c r="O331" s="24">
        <f t="shared" si="99"/>
        <v>24</v>
      </c>
      <c r="P331" s="24">
        <f>SUM(J331:O331)</f>
        <v>54</v>
      </c>
      <c r="Q331" s="24">
        <f>SUM(Q329:Q330)</f>
        <v>20</v>
      </c>
      <c r="R331" s="24">
        <f>SUM(R329:R330)</f>
        <v>39</v>
      </c>
      <c r="S331" s="24">
        <f>SUM(S329:S330)</f>
        <v>0</v>
      </c>
      <c r="T331" s="24">
        <f>SUM(T329:T330)</f>
        <v>1</v>
      </c>
      <c r="U331" s="24">
        <f>SUM(U329:U330)</f>
        <v>145</v>
      </c>
      <c r="V331" s="26">
        <f>IF(I331-Q331=0,"",IF(D331="",(P331+S331)/(I331-Q331),IF(AND(D331&lt;&gt;"",(P331+S331)/(I331-Q331)&gt;=50%),(P331+S331)/(I331-Q331),"")))</f>
        <v>0.574468085106383</v>
      </c>
      <c r="W331" s="26">
        <f>IF(I331=O331,"",IF(V331="",0,(P331+Q331+S331-O331)/(I331-O331)))</f>
        <v>0.5555555555555556</v>
      </c>
      <c r="X331" s="49"/>
      <c r="Y331" s="49"/>
      <c r="Z331" s="49"/>
      <c r="AA331" s="49"/>
      <c r="AB331" s="50"/>
      <c r="AC331" s="49"/>
      <c r="AD331" s="49"/>
      <c r="AE331" s="49"/>
      <c r="AF331" s="49"/>
      <c r="AG331" s="49"/>
      <c r="AH331" s="49"/>
      <c r="AI331" s="49"/>
      <c r="AJ331" s="49"/>
      <c r="AK331" s="49"/>
      <c r="AL331" s="49"/>
      <c r="AM331" s="49"/>
      <c r="AN331" s="49"/>
      <c r="AO331" s="49"/>
    </row>
    <row r="332" spans="1:41" s="39" customFormat="1" ht="24" customHeight="1">
      <c r="A332" s="32"/>
      <c r="B332" s="136" t="s">
        <v>109</v>
      </c>
      <c r="C332" s="14" t="s">
        <v>2</v>
      </c>
      <c r="D332" s="29"/>
      <c r="E332" s="16" t="s">
        <v>27</v>
      </c>
      <c r="F332" s="15"/>
      <c r="G332" s="15"/>
      <c r="H332" s="15"/>
      <c r="I332" s="17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8"/>
      <c r="W332" s="18"/>
      <c r="X332" s="30"/>
      <c r="Y332" s="30"/>
      <c r="Z332" s="30"/>
      <c r="AA332" s="30"/>
      <c r="AB332" s="34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</row>
    <row r="333" spans="1:41" s="39" customFormat="1" ht="21" customHeight="1">
      <c r="A333" s="32">
        <v>52</v>
      </c>
      <c r="B333" s="136"/>
      <c r="C333" s="20" t="str">
        <f>IF(A333="","VARA",VLOOKUP(A333,'[1]varas'!$A$4:$B$67,2))</f>
        <v>VT Limoeiro</v>
      </c>
      <c r="D333" s="15"/>
      <c r="E333" s="16"/>
      <c r="F333" s="15">
        <v>40</v>
      </c>
      <c r="G333" s="15">
        <v>0</v>
      </c>
      <c r="H333" s="15">
        <v>0</v>
      </c>
      <c r="I333" s="17">
        <f>SUM(F333:H333)</f>
        <v>40</v>
      </c>
      <c r="J333" s="15">
        <v>7</v>
      </c>
      <c r="K333" s="15">
        <v>2</v>
      </c>
      <c r="L333" s="15">
        <v>1</v>
      </c>
      <c r="M333" s="15">
        <v>0</v>
      </c>
      <c r="N333" s="15">
        <v>0</v>
      </c>
      <c r="O333" s="15">
        <v>30</v>
      </c>
      <c r="P333" s="15">
        <f>SUM(J333:O333)</f>
        <v>40</v>
      </c>
      <c r="Q333" s="15">
        <v>0</v>
      </c>
      <c r="R333" s="15">
        <v>0</v>
      </c>
      <c r="S333" s="15">
        <v>0</v>
      </c>
      <c r="T333" s="15">
        <v>0</v>
      </c>
      <c r="U333" s="15">
        <v>40</v>
      </c>
      <c r="V333" s="18"/>
      <c r="W333" s="18"/>
      <c r="X333" s="30"/>
      <c r="Y333" s="30"/>
      <c r="Z333" s="30"/>
      <c r="AA333" s="30"/>
      <c r="AB333" s="34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</row>
    <row r="334" spans="1:41" s="39" customFormat="1" ht="24.75" customHeight="1">
      <c r="A334" s="32">
        <v>64</v>
      </c>
      <c r="B334" s="136"/>
      <c r="C334" s="20" t="str">
        <f>IF(A334="","VARA",VLOOKUP(A334,'[1]varas'!$A$4:$B$67,2))</f>
        <v>PAJT Surubim</v>
      </c>
      <c r="D334" s="15"/>
      <c r="E334" s="16"/>
      <c r="F334" s="15">
        <v>10</v>
      </c>
      <c r="G334" s="15">
        <v>4</v>
      </c>
      <c r="H334" s="15">
        <v>2</v>
      </c>
      <c r="I334" s="17">
        <f>SUM(F334:H334)</f>
        <v>16</v>
      </c>
      <c r="J334" s="15">
        <v>7</v>
      </c>
      <c r="K334" s="15">
        <v>3</v>
      </c>
      <c r="L334" s="15">
        <v>1</v>
      </c>
      <c r="M334" s="15">
        <v>0</v>
      </c>
      <c r="N334" s="15">
        <v>0</v>
      </c>
      <c r="O334" s="15">
        <v>1</v>
      </c>
      <c r="P334" s="15">
        <f>SUM(J334:O334)</f>
        <v>12</v>
      </c>
      <c r="Q334" s="15">
        <v>0</v>
      </c>
      <c r="R334" s="15">
        <v>4</v>
      </c>
      <c r="S334" s="15">
        <v>0</v>
      </c>
      <c r="T334" s="15">
        <v>0</v>
      </c>
      <c r="U334" s="15">
        <v>64</v>
      </c>
      <c r="V334" s="18"/>
      <c r="W334" s="18"/>
      <c r="X334" s="30"/>
      <c r="Y334" s="30"/>
      <c r="Z334" s="30"/>
      <c r="AA334" s="30"/>
      <c r="AB334" s="34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</row>
    <row r="335" spans="1:41" s="53" customFormat="1" ht="22.5" customHeight="1">
      <c r="A335" s="47"/>
      <c r="B335" s="136"/>
      <c r="C335" s="21" t="s">
        <v>12</v>
      </c>
      <c r="D335" s="51"/>
      <c r="E335" s="52"/>
      <c r="F335" s="24">
        <f>SUM(F332:F334)</f>
        <v>50</v>
      </c>
      <c r="G335" s="24">
        <f>SUM(G332:G334)</f>
        <v>4</v>
      </c>
      <c r="H335" s="24">
        <f>SUM(H332:H334)</f>
        <v>2</v>
      </c>
      <c r="I335" s="25">
        <f>SUM(F335:H335)</f>
        <v>56</v>
      </c>
      <c r="J335" s="24">
        <f aca="true" t="shared" si="100" ref="J335:O335">SUM(J332:J334)</f>
        <v>14</v>
      </c>
      <c r="K335" s="24">
        <f t="shared" si="100"/>
        <v>5</v>
      </c>
      <c r="L335" s="24">
        <f t="shared" si="100"/>
        <v>2</v>
      </c>
      <c r="M335" s="24">
        <f t="shared" si="100"/>
        <v>0</v>
      </c>
      <c r="N335" s="24">
        <f t="shared" si="100"/>
        <v>0</v>
      </c>
      <c r="O335" s="24">
        <f t="shared" si="100"/>
        <v>31</v>
      </c>
      <c r="P335" s="24">
        <f>SUM(J335:O335)</f>
        <v>52</v>
      </c>
      <c r="Q335" s="24">
        <f>SUM(Q332:Q334)</f>
        <v>0</v>
      </c>
      <c r="R335" s="24">
        <f>SUM(R332:R334)</f>
        <v>4</v>
      </c>
      <c r="S335" s="24">
        <f>SUM(S332:S334)</f>
        <v>0</v>
      </c>
      <c r="T335" s="24">
        <f>SUM(T332:T334)</f>
        <v>0</v>
      </c>
      <c r="U335" s="24">
        <f>SUM(U332:U334)</f>
        <v>104</v>
      </c>
      <c r="V335" s="26">
        <f>IF(I335-Q335=0,"",IF(D335="",(P335+S335)/(I335-Q335),IF(AND(D335&lt;&gt;"",(P335+S335)/(I335-Q335)&gt;=50%),(P335+S335)/(I335-Q335),"")))</f>
        <v>0.9285714285714286</v>
      </c>
      <c r="W335" s="26">
        <f>IF(I335=O335,"",IF(V335="",0,(P335+Q335+S335-O335)/(I335-O335)))</f>
        <v>0.84</v>
      </c>
      <c r="X335" s="49"/>
      <c r="Y335" s="49"/>
      <c r="Z335" s="49"/>
      <c r="AA335" s="49"/>
      <c r="AB335" s="50"/>
      <c r="AC335" s="49"/>
      <c r="AD335" s="49"/>
      <c r="AE335" s="49"/>
      <c r="AF335" s="49"/>
      <c r="AG335" s="49"/>
      <c r="AH335" s="49"/>
      <c r="AI335" s="49"/>
      <c r="AJ335" s="49"/>
      <c r="AK335" s="49"/>
      <c r="AL335" s="49"/>
      <c r="AM335" s="49"/>
      <c r="AN335" s="49"/>
      <c r="AO335" s="49"/>
    </row>
    <row r="336" spans="1:41" s="39" customFormat="1" ht="22.5" customHeight="1">
      <c r="A336" s="32"/>
      <c r="B336" s="136" t="s">
        <v>110</v>
      </c>
      <c r="C336" s="14" t="s">
        <v>158</v>
      </c>
      <c r="D336" s="29"/>
      <c r="E336" s="16" t="s">
        <v>27</v>
      </c>
      <c r="F336" s="15"/>
      <c r="G336" s="15"/>
      <c r="H336" s="15"/>
      <c r="I336" s="17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8"/>
      <c r="W336" s="18"/>
      <c r="X336" s="30"/>
      <c r="Y336" s="30"/>
      <c r="Z336" s="30"/>
      <c r="AA336" s="30"/>
      <c r="AB336" s="34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</row>
    <row r="337" spans="1:41" s="39" customFormat="1" ht="18" customHeight="1">
      <c r="A337" s="32">
        <v>50</v>
      </c>
      <c r="B337" s="136"/>
      <c r="C337" s="20" t="str">
        <f>IF(A337="","VARA",VLOOKUP(A337,'[1]varas'!$A$4:$B$67,2))</f>
        <v>VT Garanhuns</v>
      </c>
      <c r="D337" s="29"/>
      <c r="E337" s="16"/>
      <c r="F337" s="15">
        <f>73+50+7+5</f>
        <v>135</v>
      </c>
      <c r="G337" s="15">
        <v>1</v>
      </c>
      <c r="H337" s="15">
        <v>0</v>
      </c>
      <c r="I337" s="17">
        <f>SUM(F337:H337)</f>
        <v>136</v>
      </c>
      <c r="J337" s="15">
        <v>69</v>
      </c>
      <c r="K337" s="15">
        <v>0</v>
      </c>
      <c r="L337" s="15">
        <v>7</v>
      </c>
      <c r="M337" s="15">
        <v>3</v>
      </c>
      <c r="N337" s="15">
        <v>2</v>
      </c>
      <c r="O337" s="15">
        <v>50</v>
      </c>
      <c r="P337" s="15">
        <f>SUM(J337:O337)</f>
        <v>131</v>
      </c>
      <c r="Q337" s="15">
        <v>5</v>
      </c>
      <c r="R337" s="15">
        <v>0</v>
      </c>
      <c r="S337" s="15">
        <v>0</v>
      </c>
      <c r="T337" s="15">
        <v>0</v>
      </c>
      <c r="U337" s="15">
        <v>246</v>
      </c>
      <c r="V337" s="18"/>
      <c r="W337" s="18"/>
      <c r="X337" s="30"/>
      <c r="Y337" s="30"/>
      <c r="Z337" s="30"/>
      <c r="AA337" s="30"/>
      <c r="AB337" s="34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</row>
    <row r="338" spans="1:41" s="39" customFormat="1" ht="16.5" customHeight="1">
      <c r="A338" s="32"/>
      <c r="B338" s="130"/>
      <c r="C338" s="21" t="s">
        <v>12</v>
      </c>
      <c r="D338" s="33"/>
      <c r="E338" s="23"/>
      <c r="F338" s="24">
        <f>SUM(F336:F337)</f>
        <v>135</v>
      </c>
      <c r="G338" s="24">
        <f>SUM(G336:G337)</f>
        <v>1</v>
      </c>
      <c r="H338" s="24">
        <f>SUM(H336:H337)</f>
        <v>0</v>
      </c>
      <c r="I338" s="40">
        <f>SUM(F338:H338)</f>
        <v>136</v>
      </c>
      <c r="J338" s="24">
        <f aca="true" t="shared" si="101" ref="J338:O338">SUM(J336:J337)</f>
        <v>69</v>
      </c>
      <c r="K338" s="24">
        <f t="shared" si="101"/>
        <v>0</v>
      </c>
      <c r="L338" s="24">
        <f t="shared" si="101"/>
        <v>7</v>
      </c>
      <c r="M338" s="24">
        <f t="shared" si="101"/>
        <v>3</v>
      </c>
      <c r="N338" s="24">
        <f t="shared" si="101"/>
        <v>2</v>
      </c>
      <c r="O338" s="24">
        <f t="shared" si="101"/>
        <v>50</v>
      </c>
      <c r="P338" s="24">
        <f>SUM(J338:O338)</f>
        <v>131</v>
      </c>
      <c r="Q338" s="24">
        <f>SUM(Q336:Q337)</f>
        <v>5</v>
      </c>
      <c r="R338" s="24">
        <f>SUM(R336:R337)</f>
        <v>0</v>
      </c>
      <c r="S338" s="24">
        <f>SUM(S336:S337)</f>
        <v>0</v>
      </c>
      <c r="T338" s="24">
        <f>SUM(T336:T337)</f>
        <v>0</v>
      </c>
      <c r="U338" s="24">
        <f>SUM(U336:U337)</f>
        <v>246</v>
      </c>
      <c r="V338" s="26">
        <f>IF(I338-Q338=0,"",IF(D338="",(P338+S338)/(I338-Q338),IF(AND(D338&lt;&gt;"",(P338+S338)/(I338-Q338)&gt;=50%),(P338+S338)/(I338-Q338),"")))</f>
        <v>1</v>
      </c>
      <c r="W338" s="26">
        <f>IF(I338=O338,"",IF(V338="",0,(P338+Q338+S338-O338)/(I338-O338)))</f>
        <v>1</v>
      </c>
      <c r="X338" s="30"/>
      <c r="Y338" s="30"/>
      <c r="Z338" s="30"/>
      <c r="AA338" s="30"/>
      <c r="AB338" s="34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</row>
    <row r="339" spans="1:41" s="39" customFormat="1" ht="20.25" customHeight="1">
      <c r="A339" s="32"/>
      <c r="B339" s="137" t="s">
        <v>111</v>
      </c>
      <c r="C339" s="105" t="s">
        <v>155</v>
      </c>
      <c r="D339" s="29" t="s">
        <v>30</v>
      </c>
      <c r="E339" s="16" t="s">
        <v>241</v>
      </c>
      <c r="F339" s="15"/>
      <c r="G339" s="15"/>
      <c r="H339" s="15"/>
      <c r="I339" s="17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8"/>
      <c r="W339" s="18"/>
      <c r="X339" s="30"/>
      <c r="Y339" s="30"/>
      <c r="Z339" s="30"/>
      <c r="AA339" s="30"/>
      <c r="AB339" s="34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</row>
    <row r="340" spans="1:41" s="39" customFormat="1" ht="20.25" customHeight="1">
      <c r="A340" s="32">
        <v>22</v>
      </c>
      <c r="B340" s="138"/>
      <c r="C340" s="106" t="str">
        <f>IF(A340="","VARA",VLOOKUP(A340,'[1]varas'!$A$4:$B$67,2))</f>
        <v>22ª VT Recife</v>
      </c>
      <c r="D340" s="15"/>
      <c r="E340" s="16"/>
      <c r="F340" s="15">
        <f>10+13+3+4</f>
        <v>30</v>
      </c>
      <c r="G340" s="15">
        <v>1</v>
      </c>
      <c r="H340" s="15">
        <v>15</v>
      </c>
      <c r="I340" s="17">
        <f>SUM(F340:H340)</f>
        <v>46</v>
      </c>
      <c r="J340" s="15">
        <v>2</v>
      </c>
      <c r="K340" s="15">
        <v>2</v>
      </c>
      <c r="L340" s="15">
        <v>3</v>
      </c>
      <c r="M340" s="15">
        <v>2</v>
      </c>
      <c r="N340" s="15">
        <v>2</v>
      </c>
      <c r="O340" s="15">
        <v>13</v>
      </c>
      <c r="P340" s="15">
        <f>SUM(J340:O340)</f>
        <v>24</v>
      </c>
      <c r="Q340" s="15">
        <v>6</v>
      </c>
      <c r="R340" s="15">
        <v>16</v>
      </c>
      <c r="S340" s="15">
        <v>0</v>
      </c>
      <c r="T340" s="15">
        <v>0</v>
      </c>
      <c r="U340" s="15">
        <v>38</v>
      </c>
      <c r="V340" s="18"/>
      <c r="W340" s="18"/>
      <c r="X340" s="30"/>
      <c r="Y340" s="30"/>
      <c r="Z340" s="30"/>
      <c r="AA340" s="30"/>
      <c r="AB340" s="34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</row>
    <row r="341" spans="1:41" s="53" customFormat="1" ht="17.25" customHeight="1">
      <c r="A341" s="47"/>
      <c r="B341" s="133"/>
      <c r="C341" s="106" t="s">
        <v>12</v>
      </c>
      <c r="D341" s="24"/>
      <c r="E341" s="48"/>
      <c r="F341" s="24">
        <f>SUM(F339:F340)</f>
        <v>30</v>
      </c>
      <c r="G341" s="24">
        <f>SUM(G339:G340)</f>
        <v>1</v>
      </c>
      <c r="H341" s="24">
        <f>SUM(H339:H340)</f>
        <v>15</v>
      </c>
      <c r="I341" s="40">
        <f>SUM(F341:H341)</f>
        <v>46</v>
      </c>
      <c r="J341" s="24">
        <f aca="true" t="shared" si="102" ref="J341:O341">SUM(J339:J340)</f>
        <v>2</v>
      </c>
      <c r="K341" s="24">
        <f t="shared" si="102"/>
        <v>2</v>
      </c>
      <c r="L341" s="24">
        <f t="shared" si="102"/>
        <v>3</v>
      </c>
      <c r="M341" s="24">
        <f t="shared" si="102"/>
        <v>2</v>
      </c>
      <c r="N341" s="24">
        <f t="shared" si="102"/>
        <v>2</v>
      </c>
      <c r="O341" s="24">
        <f t="shared" si="102"/>
        <v>13</v>
      </c>
      <c r="P341" s="24">
        <f>SUM(J341:O341)</f>
        <v>24</v>
      </c>
      <c r="Q341" s="24">
        <f>SUM(Q339:Q340)</f>
        <v>6</v>
      </c>
      <c r="R341" s="24">
        <f>SUM(R339:R340)</f>
        <v>16</v>
      </c>
      <c r="S341" s="24">
        <f>SUM(S339:S340)</f>
        <v>0</v>
      </c>
      <c r="T341" s="24">
        <f>SUM(T339:T340)</f>
        <v>0</v>
      </c>
      <c r="U341" s="24">
        <f>SUM(U339:U340)</f>
        <v>38</v>
      </c>
      <c r="V341" s="26">
        <f>IF(I341-Q341=0,"",IF(D341="",(P341+S341)/(I341-Q341),IF(AND(D341&lt;&gt;"",(P341+S341)/(I341-Q341)&gt;=50%),(P341+S341)/(I341-Q341),"")))</f>
        <v>0.6</v>
      </c>
      <c r="W341" s="26">
        <f>IF(I341=O341,"",IF(V341="",0,(P341+Q341+S341-O341)/(I341-O341)))</f>
        <v>0.5151515151515151</v>
      </c>
      <c r="X341" s="49"/>
      <c r="Y341" s="49"/>
      <c r="Z341" s="49"/>
      <c r="AA341" s="49"/>
      <c r="AB341" s="50"/>
      <c r="AC341" s="49"/>
      <c r="AD341" s="49"/>
      <c r="AE341" s="49"/>
      <c r="AF341" s="49"/>
      <c r="AG341" s="49"/>
      <c r="AH341" s="49"/>
      <c r="AI341" s="49"/>
      <c r="AJ341" s="49"/>
      <c r="AK341" s="49"/>
      <c r="AL341" s="49"/>
      <c r="AM341" s="49"/>
      <c r="AN341" s="49"/>
      <c r="AO341" s="49"/>
    </row>
    <row r="342" spans="1:41" s="39" customFormat="1" ht="21" customHeight="1">
      <c r="A342" s="32"/>
      <c r="B342" s="137" t="s">
        <v>112</v>
      </c>
      <c r="C342" s="105" t="s">
        <v>2</v>
      </c>
      <c r="D342" s="29"/>
      <c r="E342" s="16" t="s">
        <v>27</v>
      </c>
      <c r="F342" s="15"/>
      <c r="G342" s="15"/>
      <c r="H342" s="15"/>
      <c r="I342" s="17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8"/>
      <c r="W342" s="18"/>
      <c r="X342" s="30"/>
      <c r="Y342" s="30"/>
      <c r="Z342" s="30"/>
      <c r="AA342" s="30"/>
      <c r="AB342" s="34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</row>
    <row r="343" spans="1:41" s="39" customFormat="1" ht="21" customHeight="1">
      <c r="A343" s="32">
        <v>15</v>
      </c>
      <c r="B343" s="146"/>
      <c r="C343" s="106" t="str">
        <f>IF(A343="","VARA",VLOOKUP(A343,'[1]varas'!$A$4:$B$67,2))</f>
        <v>15ª VT Recife</v>
      </c>
      <c r="D343" s="29"/>
      <c r="E343" s="16"/>
      <c r="F343" s="15">
        <v>0</v>
      </c>
      <c r="G343" s="15">
        <v>0</v>
      </c>
      <c r="H343" s="15">
        <v>1</v>
      </c>
      <c r="I343" s="17">
        <f>SUM(F343:H343)</f>
        <v>1</v>
      </c>
      <c r="J343" s="15">
        <v>1</v>
      </c>
      <c r="K343" s="15">
        <v>0</v>
      </c>
      <c r="L343" s="15">
        <v>0</v>
      </c>
      <c r="M343" s="15">
        <v>0</v>
      </c>
      <c r="N343" s="15">
        <v>0</v>
      </c>
      <c r="O343" s="15">
        <v>0</v>
      </c>
      <c r="P343" s="15">
        <f>SUM(J343:O343)</f>
        <v>1</v>
      </c>
      <c r="Q343" s="15">
        <v>0</v>
      </c>
      <c r="R343" s="15">
        <v>0</v>
      </c>
      <c r="S343" s="15">
        <v>0</v>
      </c>
      <c r="T343" s="15">
        <v>0</v>
      </c>
      <c r="U343" s="15">
        <v>0</v>
      </c>
      <c r="V343" s="18"/>
      <c r="W343" s="18"/>
      <c r="X343" s="30"/>
      <c r="Y343" s="30"/>
      <c r="Z343" s="30"/>
      <c r="AA343" s="30"/>
      <c r="AB343" s="34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</row>
    <row r="344" spans="1:41" s="39" customFormat="1" ht="17.25" customHeight="1">
      <c r="A344" s="32">
        <v>18</v>
      </c>
      <c r="B344" s="138"/>
      <c r="C344" s="106" t="str">
        <f>IF(A344="","VARA",VLOOKUP(A344,'[1]varas'!$A$4:$B$67,2))</f>
        <v>18ª VT Recife</v>
      </c>
      <c r="D344" s="29"/>
      <c r="E344" s="16"/>
      <c r="F344" s="15">
        <f>25+31+40+0</f>
        <v>96</v>
      </c>
      <c r="G344" s="15">
        <v>23</v>
      </c>
      <c r="H344" s="15">
        <v>0</v>
      </c>
      <c r="I344" s="17">
        <f>SUM(F344:H344)</f>
        <v>119</v>
      </c>
      <c r="J344" s="15">
        <v>33</v>
      </c>
      <c r="K344" s="15">
        <v>14</v>
      </c>
      <c r="L344" s="15">
        <v>40</v>
      </c>
      <c r="M344" s="15">
        <v>0</v>
      </c>
      <c r="N344" s="15">
        <v>0</v>
      </c>
      <c r="O344" s="15">
        <v>31</v>
      </c>
      <c r="P344" s="15">
        <f>SUM(J344:O344)</f>
        <v>118</v>
      </c>
      <c r="Q344" s="15">
        <v>1</v>
      </c>
      <c r="R344" s="15">
        <v>0</v>
      </c>
      <c r="S344" s="15">
        <v>0</v>
      </c>
      <c r="T344" s="15">
        <v>0</v>
      </c>
      <c r="U344" s="15">
        <v>133</v>
      </c>
      <c r="V344" s="18"/>
      <c r="W344" s="18"/>
      <c r="X344" s="30"/>
      <c r="Y344" s="30"/>
      <c r="Z344" s="30"/>
      <c r="AA344" s="30"/>
      <c r="AB344" s="34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</row>
    <row r="345" spans="1:41" s="53" customFormat="1" ht="18" customHeight="1">
      <c r="A345" s="47"/>
      <c r="B345" s="133"/>
      <c r="C345" s="106" t="s">
        <v>12</v>
      </c>
      <c r="D345" s="24"/>
      <c r="E345" s="48"/>
      <c r="F345" s="24">
        <f>SUM(F342:F344)</f>
        <v>96</v>
      </c>
      <c r="G345" s="24">
        <f>SUM(G342:G344)</f>
        <v>23</v>
      </c>
      <c r="H345" s="24">
        <f>SUM(H342:H344)</f>
        <v>1</v>
      </c>
      <c r="I345" s="40">
        <f>SUM(F345:H345)</f>
        <v>120</v>
      </c>
      <c r="J345" s="24">
        <f aca="true" t="shared" si="103" ref="J345:O345">SUM(J342:J344)</f>
        <v>34</v>
      </c>
      <c r="K345" s="24">
        <f t="shared" si="103"/>
        <v>14</v>
      </c>
      <c r="L345" s="24">
        <f t="shared" si="103"/>
        <v>40</v>
      </c>
      <c r="M345" s="24">
        <f t="shared" si="103"/>
        <v>0</v>
      </c>
      <c r="N345" s="24">
        <f t="shared" si="103"/>
        <v>0</v>
      </c>
      <c r="O345" s="24">
        <f t="shared" si="103"/>
        <v>31</v>
      </c>
      <c r="P345" s="24">
        <f>SUM(J345:O345)</f>
        <v>119</v>
      </c>
      <c r="Q345" s="24">
        <f>SUM(Q342:Q344)</f>
        <v>1</v>
      </c>
      <c r="R345" s="24">
        <f>SUM(R342:R344)</f>
        <v>0</v>
      </c>
      <c r="S345" s="24">
        <f>SUM(S342:S344)</f>
        <v>0</v>
      </c>
      <c r="T345" s="24">
        <f>SUM(T342:T344)</f>
        <v>0</v>
      </c>
      <c r="U345" s="24">
        <f>SUM(U342:U344)</f>
        <v>133</v>
      </c>
      <c r="V345" s="26">
        <f>IF(I345-Q345=0,"",IF(D345="",(P345+S345)/(I345-Q345),IF(AND(D345&lt;&gt;"",(P345+S345)/(I345-Q345)&gt;=50%),(P345+S345)/(I345-Q345),"")))</f>
        <v>1</v>
      </c>
      <c r="W345" s="26">
        <f>IF(I345=O345,"",IF(V345="",0,(P345+Q345+S345-O345)/(I345-O345)))</f>
        <v>1</v>
      </c>
      <c r="X345" s="49"/>
      <c r="Y345" s="49"/>
      <c r="Z345" s="49"/>
      <c r="AA345" s="49"/>
      <c r="AB345" s="50"/>
      <c r="AC345" s="49"/>
      <c r="AD345" s="49"/>
      <c r="AE345" s="49"/>
      <c r="AF345" s="49"/>
      <c r="AG345" s="49"/>
      <c r="AH345" s="49"/>
      <c r="AI345" s="49"/>
      <c r="AJ345" s="49"/>
      <c r="AK345" s="49"/>
      <c r="AL345" s="49"/>
      <c r="AM345" s="49"/>
      <c r="AN345" s="49"/>
      <c r="AO345" s="49"/>
    </row>
    <row r="346" spans="1:41" s="39" customFormat="1" ht="19.5" customHeight="1">
      <c r="A346" s="32"/>
      <c r="B346" s="129" t="s">
        <v>113</v>
      </c>
      <c r="C346" s="14" t="s">
        <v>158</v>
      </c>
      <c r="D346" s="29" t="s">
        <v>30</v>
      </c>
      <c r="E346" s="16" t="s">
        <v>218</v>
      </c>
      <c r="F346" s="15"/>
      <c r="G346" s="15"/>
      <c r="H346" s="15"/>
      <c r="I346" s="17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8"/>
      <c r="W346" s="18"/>
      <c r="X346" s="30"/>
      <c r="Y346" s="30"/>
      <c r="Z346" s="30"/>
      <c r="AA346" s="30"/>
      <c r="AB346" s="34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</row>
    <row r="347" spans="1:41" s="39" customFormat="1" ht="19.5" customHeight="1">
      <c r="A347" s="32">
        <v>2</v>
      </c>
      <c r="B347" s="129"/>
      <c r="C347" s="20" t="str">
        <f>IF(A347="","VARA",VLOOKUP(A347,'[1]varas'!$A$4:$B$67,2))</f>
        <v>2ª VT Recife</v>
      </c>
      <c r="D347" s="29"/>
      <c r="E347" s="16"/>
      <c r="F347" s="15">
        <f>53+20+17+7</f>
        <v>97</v>
      </c>
      <c r="G347" s="15">
        <v>4</v>
      </c>
      <c r="H347" s="15">
        <v>11</v>
      </c>
      <c r="I347" s="17">
        <f>SUM(F347:H347)</f>
        <v>112</v>
      </c>
      <c r="J347" s="15">
        <v>36</v>
      </c>
      <c r="K347" s="15">
        <v>4</v>
      </c>
      <c r="L347" s="15">
        <v>17</v>
      </c>
      <c r="M347" s="15">
        <v>7</v>
      </c>
      <c r="N347" s="15">
        <v>0</v>
      </c>
      <c r="O347" s="15">
        <v>20</v>
      </c>
      <c r="P347" s="15">
        <f>SUM(J347:O347)</f>
        <v>84</v>
      </c>
      <c r="Q347" s="15">
        <v>22</v>
      </c>
      <c r="R347" s="15">
        <v>6</v>
      </c>
      <c r="S347" s="15">
        <v>0</v>
      </c>
      <c r="T347" s="15">
        <v>0</v>
      </c>
      <c r="U347" s="15">
        <v>188</v>
      </c>
      <c r="V347" s="18"/>
      <c r="W347" s="18"/>
      <c r="X347" s="30"/>
      <c r="Y347" s="30"/>
      <c r="Z347" s="30"/>
      <c r="AA347" s="30"/>
      <c r="AB347" s="34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</row>
    <row r="348" spans="1:41" s="39" customFormat="1" ht="20.25" customHeight="1">
      <c r="A348" s="32">
        <v>61</v>
      </c>
      <c r="B348" s="136"/>
      <c r="C348" s="20" t="str">
        <f>IF(A348="","VARA",VLOOKUP(A348,'[1]varas'!$A$4:$B$67,2))</f>
        <v>VT Vitória</v>
      </c>
      <c r="D348" s="29"/>
      <c r="E348" s="16"/>
      <c r="F348" s="15">
        <v>1</v>
      </c>
      <c r="G348" s="15">
        <v>0</v>
      </c>
      <c r="H348" s="15">
        <v>0</v>
      </c>
      <c r="I348" s="17">
        <f>SUM(F348:H348)</f>
        <v>1</v>
      </c>
      <c r="J348" s="15">
        <v>0</v>
      </c>
      <c r="K348" s="15">
        <v>0</v>
      </c>
      <c r="L348" s="15">
        <v>1</v>
      </c>
      <c r="M348" s="15">
        <v>0</v>
      </c>
      <c r="N348" s="15">
        <v>0</v>
      </c>
      <c r="O348" s="15">
        <v>0</v>
      </c>
      <c r="P348" s="15">
        <f>SUM(J348:O348)</f>
        <v>1</v>
      </c>
      <c r="Q348" s="15">
        <v>0</v>
      </c>
      <c r="R348" s="15">
        <v>0</v>
      </c>
      <c r="S348" s="15">
        <v>0</v>
      </c>
      <c r="T348" s="15">
        <v>0</v>
      </c>
      <c r="U348" s="15">
        <v>0</v>
      </c>
      <c r="V348" s="18"/>
      <c r="W348" s="18"/>
      <c r="X348" s="30"/>
      <c r="Y348" s="30"/>
      <c r="Z348" s="30"/>
      <c r="AA348" s="30"/>
      <c r="AB348" s="34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</row>
    <row r="349" spans="1:41" s="53" customFormat="1" ht="18.75" customHeight="1">
      <c r="A349" s="47"/>
      <c r="B349" s="136"/>
      <c r="C349" s="20" t="s">
        <v>12</v>
      </c>
      <c r="D349" s="24"/>
      <c r="E349" s="48"/>
      <c r="F349" s="24">
        <f>SUM(F346:F348)</f>
        <v>98</v>
      </c>
      <c r="G349" s="24">
        <f>SUM(G346:G348)</f>
        <v>4</v>
      </c>
      <c r="H349" s="24">
        <f>SUM(H346:H348)</f>
        <v>11</v>
      </c>
      <c r="I349" s="40">
        <f>SUM(F349:H349)</f>
        <v>113</v>
      </c>
      <c r="J349" s="24">
        <f aca="true" t="shared" si="104" ref="J349:O349">SUM(J346:J348)</f>
        <v>36</v>
      </c>
      <c r="K349" s="24">
        <f t="shared" si="104"/>
        <v>4</v>
      </c>
      <c r="L349" s="24">
        <f t="shared" si="104"/>
        <v>18</v>
      </c>
      <c r="M349" s="24">
        <f t="shared" si="104"/>
        <v>7</v>
      </c>
      <c r="N349" s="24">
        <f t="shared" si="104"/>
        <v>0</v>
      </c>
      <c r="O349" s="24">
        <f t="shared" si="104"/>
        <v>20</v>
      </c>
      <c r="P349" s="24">
        <f>SUM(J349:O349)</f>
        <v>85</v>
      </c>
      <c r="Q349" s="24">
        <f>SUM(Q346:Q348)</f>
        <v>22</v>
      </c>
      <c r="R349" s="24">
        <f>SUM(R346:R348)</f>
        <v>6</v>
      </c>
      <c r="S349" s="24">
        <f>SUM(S346:S348)</f>
        <v>0</v>
      </c>
      <c r="T349" s="24">
        <f>SUM(T346:T348)</f>
        <v>0</v>
      </c>
      <c r="U349" s="24">
        <f>SUM(U346:U348)</f>
        <v>188</v>
      </c>
      <c r="V349" s="26">
        <f>IF(I349-Q349=0,"",IF(D349="",(P349+S349)/(I349-Q349),IF(AND(D349&lt;&gt;"",(P349+S349)/(I349-Q349)&gt;=50%),(P349+S349)/(I349-Q349),"")))</f>
        <v>0.9340659340659341</v>
      </c>
      <c r="W349" s="26">
        <f>IF(I349=O349,"",IF(V349="",0,(P349+Q349+S349-O349)/(I349-O349)))</f>
        <v>0.9354838709677419</v>
      </c>
      <c r="X349" s="49"/>
      <c r="Y349" s="49"/>
      <c r="Z349" s="49"/>
      <c r="AA349" s="49"/>
      <c r="AB349" s="50"/>
      <c r="AC349" s="49"/>
      <c r="AD349" s="49"/>
      <c r="AE349" s="49"/>
      <c r="AF349" s="49"/>
      <c r="AG349" s="49"/>
      <c r="AH349" s="49"/>
      <c r="AI349" s="49"/>
      <c r="AJ349" s="49"/>
      <c r="AK349" s="49"/>
      <c r="AL349" s="49"/>
      <c r="AM349" s="49"/>
      <c r="AN349" s="49"/>
      <c r="AO349" s="49"/>
    </row>
    <row r="350" spans="1:41" s="39" customFormat="1" ht="20.25" customHeight="1">
      <c r="A350" s="32"/>
      <c r="B350" s="136" t="s">
        <v>114</v>
      </c>
      <c r="C350" s="14" t="s">
        <v>158</v>
      </c>
      <c r="D350" s="29" t="s">
        <v>30</v>
      </c>
      <c r="E350" s="16" t="s">
        <v>242</v>
      </c>
      <c r="F350" s="15"/>
      <c r="G350" s="15"/>
      <c r="H350" s="15"/>
      <c r="I350" s="17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8"/>
      <c r="W350" s="18"/>
      <c r="X350" s="30"/>
      <c r="Y350" s="30"/>
      <c r="Z350" s="30"/>
      <c r="AA350" s="30"/>
      <c r="AB350" s="34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</row>
    <row r="351" spans="1:41" s="39" customFormat="1" ht="18" customHeight="1">
      <c r="A351" s="32">
        <v>56</v>
      </c>
      <c r="B351" s="136"/>
      <c r="C351" s="20" t="str">
        <f>IF(A351="","VARA",VLOOKUP(A351,'[1]varas'!$A$4:$B$67,2))</f>
        <v>1ª VT Ribeirão</v>
      </c>
      <c r="D351" s="15"/>
      <c r="E351" s="16"/>
      <c r="F351" s="15">
        <v>24</v>
      </c>
      <c r="G351" s="15">
        <v>8</v>
      </c>
      <c r="H351" s="15">
        <v>9</v>
      </c>
      <c r="I351" s="17">
        <f>SUM(F351:H351)</f>
        <v>41</v>
      </c>
      <c r="J351" s="15">
        <v>0</v>
      </c>
      <c r="K351" s="15">
        <v>1</v>
      </c>
      <c r="L351" s="15">
        <v>16</v>
      </c>
      <c r="M351" s="15">
        <v>1</v>
      </c>
      <c r="N351" s="15">
        <v>0</v>
      </c>
      <c r="O351" s="15">
        <v>3</v>
      </c>
      <c r="P351" s="15">
        <f>SUM(J351:O351)</f>
        <v>21</v>
      </c>
      <c r="Q351" s="15">
        <v>7</v>
      </c>
      <c r="R351" s="15">
        <v>13</v>
      </c>
      <c r="S351" s="15">
        <v>0</v>
      </c>
      <c r="T351" s="15">
        <v>0</v>
      </c>
      <c r="U351" s="15">
        <v>11</v>
      </c>
      <c r="V351" s="18"/>
      <c r="W351" s="18"/>
      <c r="X351" s="30"/>
      <c r="Y351" s="30"/>
      <c r="Z351" s="30"/>
      <c r="AA351" s="30"/>
      <c r="AB351" s="34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</row>
    <row r="352" spans="1:41" s="39" customFormat="1" ht="20.25" customHeight="1">
      <c r="A352" s="32">
        <v>54</v>
      </c>
      <c r="B352" s="136"/>
      <c r="C352" s="20" t="str">
        <f>IF(A352="","VARA",VLOOKUP(A352,'[1]varas'!$A$4:$B$67,2))</f>
        <v>1ª VT Palmares</v>
      </c>
      <c r="D352" s="15"/>
      <c r="E352" s="16"/>
      <c r="F352" s="15">
        <v>0</v>
      </c>
      <c r="G352" s="15">
        <v>8</v>
      </c>
      <c r="H352" s="15">
        <v>0</v>
      </c>
      <c r="I352" s="17">
        <f>SUM(F352:H352)</f>
        <v>8</v>
      </c>
      <c r="J352" s="15">
        <v>0</v>
      </c>
      <c r="K352" s="15">
        <v>0</v>
      </c>
      <c r="L352" s="15">
        <v>0</v>
      </c>
      <c r="M352" s="15">
        <v>0</v>
      </c>
      <c r="N352" s="15">
        <v>0</v>
      </c>
      <c r="O352" s="15">
        <v>0</v>
      </c>
      <c r="P352" s="15">
        <f>SUM(J352:O352)</f>
        <v>0</v>
      </c>
      <c r="Q352" s="15">
        <v>0</v>
      </c>
      <c r="R352" s="15">
        <v>0</v>
      </c>
      <c r="S352" s="15">
        <v>0</v>
      </c>
      <c r="T352" s="15">
        <v>8</v>
      </c>
      <c r="U352" s="15">
        <v>0</v>
      </c>
      <c r="V352" s="18"/>
      <c r="W352" s="18"/>
      <c r="X352" s="30"/>
      <c r="Y352" s="30"/>
      <c r="Z352" s="30"/>
      <c r="AA352" s="30"/>
      <c r="AB352" s="34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</row>
    <row r="353" spans="1:41" s="53" customFormat="1" ht="17.25" customHeight="1">
      <c r="A353" s="47"/>
      <c r="B353" s="142"/>
      <c r="C353" s="21" t="s">
        <v>12</v>
      </c>
      <c r="D353" s="51"/>
      <c r="E353" s="52"/>
      <c r="F353" s="24">
        <f>SUM(F350:F352)</f>
        <v>24</v>
      </c>
      <c r="G353" s="24">
        <f>SUM(G350:G352)</f>
        <v>16</v>
      </c>
      <c r="H353" s="24">
        <f>SUM(H350:H352)</f>
        <v>9</v>
      </c>
      <c r="I353" s="25">
        <f>SUM(F353:H353)</f>
        <v>49</v>
      </c>
      <c r="J353" s="24">
        <f aca="true" t="shared" si="105" ref="J353:O353">SUM(J350:J352)</f>
        <v>0</v>
      </c>
      <c r="K353" s="24">
        <f t="shared" si="105"/>
        <v>1</v>
      </c>
      <c r="L353" s="24">
        <f t="shared" si="105"/>
        <v>16</v>
      </c>
      <c r="M353" s="24">
        <f t="shared" si="105"/>
        <v>1</v>
      </c>
      <c r="N353" s="24">
        <f t="shared" si="105"/>
        <v>0</v>
      </c>
      <c r="O353" s="24">
        <f t="shared" si="105"/>
        <v>3</v>
      </c>
      <c r="P353" s="24">
        <f>SUM(J353:O353)</f>
        <v>21</v>
      </c>
      <c r="Q353" s="24">
        <f>SUM(Q350:Q352)</f>
        <v>7</v>
      </c>
      <c r="R353" s="24">
        <f>SUM(R350:R352)</f>
        <v>13</v>
      </c>
      <c r="S353" s="24">
        <f>SUM(S350:S352)</f>
        <v>0</v>
      </c>
      <c r="T353" s="24">
        <f>SUM(T350:T352)</f>
        <v>8</v>
      </c>
      <c r="U353" s="24">
        <f>SUM(U350:U352)</f>
        <v>11</v>
      </c>
      <c r="V353" s="26">
        <f>IF(I353-Q353=0,"",IF(D353="",(P353+S353)/(I353-Q353),IF(AND(D353&lt;&gt;"",(P353+S353)/(I353-Q353)&gt;=50%),(P353+S353)/(I353-Q353),"")))</f>
        <v>0.5</v>
      </c>
      <c r="W353" s="26">
        <f>IF(I353=O353,"",IF(V353="",0,(P353+Q353+S353-O353)/(I353-O353)))</f>
        <v>0.5434782608695652</v>
      </c>
      <c r="X353" s="49"/>
      <c r="Y353" s="49"/>
      <c r="Z353" s="49"/>
      <c r="AA353" s="49"/>
      <c r="AB353" s="50"/>
      <c r="AC353" s="49"/>
      <c r="AD353" s="49"/>
      <c r="AE353" s="49"/>
      <c r="AF353" s="49"/>
      <c r="AG353" s="49"/>
      <c r="AH353" s="49"/>
      <c r="AI353" s="49"/>
      <c r="AJ353" s="49"/>
      <c r="AK353" s="49"/>
      <c r="AL353" s="49"/>
      <c r="AM353" s="49"/>
      <c r="AN353" s="49"/>
      <c r="AO353" s="49"/>
    </row>
    <row r="354" spans="1:41" s="39" customFormat="1" ht="23.25" customHeight="1">
      <c r="A354" s="32"/>
      <c r="B354" s="137" t="s">
        <v>115</v>
      </c>
      <c r="C354" s="105" t="s">
        <v>2</v>
      </c>
      <c r="D354" s="29"/>
      <c r="E354" s="16" t="s">
        <v>27</v>
      </c>
      <c r="F354" s="15"/>
      <c r="G354" s="15"/>
      <c r="H354" s="15"/>
      <c r="I354" s="17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8"/>
      <c r="W354" s="18"/>
      <c r="X354" s="30"/>
      <c r="Y354" s="30"/>
      <c r="Z354" s="30"/>
      <c r="AA354" s="30"/>
      <c r="AB354" s="34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</row>
    <row r="355" spans="1:41" s="39" customFormat="1" ht="19.5" customHeight="1">
      <c r="A355" s="32">
        <v>9</v>
      </c>
      <c r="B355" s="138"/>
      <c r="C355" s="106" t="str">
        <f>IF(A355="","VARA",VLOOKUP(A355,'[1]varas'!$A$4:$B$67,2))</f>
        <v>9ª VT Recife</v>
      </c>
      <c r="D355" s="15"/>
      <c r="E355" s="16"/>
      <c r="F355" s="15">
        <f>36+39+8</f>
        <v>83</v>
      </c>
      <c r="G355" s="15">
        <v>4</v>
      </c>
      <c r="H355" s="15">
        <v>0</v>
      </c>
      <c r="I355" s="17">
        <f>SUM(F355:H355)</f>
        <v>87</v>
      </c>
      <c r="J355" s="15">
        <v>21</v>
      </c>
      <c r="K355" s="15">
        <v>9</v>
      </c>
      <c r="L355" s="15">
        <v>4</v>
      </c>
      <c r="M355" s="15">
        <v>4</v>
      </c>
      <c r="N355" s="15">
        <v>0</v>
      </c>
      <c r="O355" s="15">
        <v>39</v>
      </c>
      <c r="P355" s="15">
        <f>SUM(J355:O355)</f>
        <v>77</v>
      </c>
      <c r="Q355" s="15">
        <v>10</v>
      </c>
      <c r="R355" s="15">
        <v>0</v>
      </c>
      <c r="S355" s="15">
        <v>0</v>
      </c>
      <c r="T355" s="15">
        <v>0</v>
      </c>
      <c r="U355" s="15">
        <v>204</v>
      </c>
      <c r="V355" s="18"/>
      <c r="W355" s="18"/>
      <c r="X355" s="30"/>
      <c r="Y355" s="30"/>
      <c r="Z355" s="30"/>
      <c r="AA355" s="30"/>
      <c r="AB355" s="34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</row>
    <row r="356" spans="1:41" s="53" customFormat="1" ht="22.5" customHeight="1">
      <c r="A356" s="47"/>
      <c r="B356" s="133"/>
      <c r="C356" s="107" t="s">
        <v>12</v>
      </c>
      <c r="D356" s="51"/>
      <c r="E356" s="52"/>
      <c r="F356" s="24">
        <f>SUM(F354:F355)</f>
        <v>83</v>
      </c>
      <c r="G356" s="24">
        <f>SUM(G354:G355)</f>
        <v>4</v>
      </c>
      <c r="H356" s="24">
        <f>SUM(H354:H355)</f>
        <v>0</v>
      </c>
      <c r="I356" s="25">
        <f>SUM(F356:H356)</f>
        <v>87</v>
      </c>
      <c r="J356" s="24">
        <f aca="true" t="shared" si="106" ref="J356:O356">SUM(J354:J355)</f>
        <v>21</v>
      </c>
      <c r="K356" s="24">
        <f t="shared" si="106"/>
        <v>9</v>
      </c>
      <c r="L356" s="24">
        <f t="shared" si="106"/>
        <v>4</v>
      </c>
      <c r="M356" s="24">
        <f t="shared" si="106"/>
        <v>4</v>
      </c>
      <c r="N356" s="24">
        <f t="shared" si="106"/>
        <v>0</v>
      </c>
      <c r="O356" s="24">
        <f t="shared" si="106"/>
        <v>39</v>
      </c>
      <c r="P356" s="24">
        <f>SUM(J356:O356)</f>
        <v>77</v>
      </c>
      <c r="Q356" s="24">
        <f>SUM(Q354:Q355)</f>
        <v>10</v>
      </c>
      <c r="R356" s="24">
        <f>SUM(R354:R355)</f>
        <v>0</v>
      </c>
      <c r="S356" s="24">
        <f>SUM(S354:S355)</f>
        <v>0</v>
      </c>
      <c r="T356" s="24">
        <f>SUM(T354:T355)</f>
        <v>0</v>
      </c>
      <c r="U356" s="24">
        <f>SUM(U354:U355)</f>
        <v>204</v>
      </c>
      <c r="V356" s="26">
        <f>IF(I356-Q356=0,"",IF(D356="",(P356+S356)/(I356-Q356),IF(AND(D356&lt;&gt;"",(P356+S356)/(I356-Q356)&gt;=50%),(P356+S356)/(I356-Q356),"")))</f>
        <v>1</v>
      </c>
      <c r="W356" s="26">
        <f>IF(I356=O356,"",IF(V356="",0,(P356+Q356+S356-O356)/(I356-O356)))</f>
        <v>1</v>
      </c>
      <c r="X356" s="49"/>
      <c r="Y356" s="49"/>
      <c r="Z356" s="49"/>
      <c r="AA356" s="49"/>
      <c r="AB356" s="50"/>
      <c r="AC356" s="49"/>
      <c r="AD356" s="49"/>
      <c r="AE356" s="49"/>
      <c r="AF356" s="49"/>
      <c r="AG356" s="49"/>
      <c r="AH356" s="49"/>
      <c r="AI356" s="49"/>
      <c r="AJ356" s="49"/>
      <c r="AK356" s="49"/>
      <c r="AL356" s="49"/>
      <c r="AM356" s="49"/>
      <c r="AN356" s="49"/>
      <c r="AO356" s="49"/>
    </row>
    <row r="357" spans="1:41" s="39" customFormat="1" ht="18" customHeight="1">
      <c r="A357" s="32"/>
      <c r="B357" s="137" t="s">
        <v>116</v>
      </c>
      <c r="C357" s="105" t="s">
        <v>158</v>
      </c>
      <c r="D357" s="15"/>
      <c r="E357" s="16" t="s">
        <v>27</v>
      </c>
      <c r="F357" s="15"/>
      <c r="G357" s="15"/>
      <c r="H357" s="15"/>
      <c r="I357" s="17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8"/>
      <c r="W357" s="18"/>
      <c r="X357" s="30"/>
      <c r="Y357" s="30"/>
      <c r="Z357" s="30"/>
      <c r="AA357" s="30"/>
      <c r="AB357" s="34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</row>
    <row r="358" spans="1:41" s="39" customFormat="1" ht="18" customHeight="1">
      <c r="A358" s="32">
        <v>14</v>
      </c>
      <c r="B358" s="138"/>
      <c r="C358" s="106" t="str">
        <f>IF(A358="","VARA",VLOOKUP(A358,'[1]varas'!$A$4:$B$67,2))</f>
        <v>14ª VT Recife</v>
      </c>
      <c r="D358" s="15"/>
      <c r="E358" s="16"/>
      <c r="F358" s="15">
        <f>50+20+10+8</f>
        <v>88</v>
      </c>
      <c r="G358" s="15">
        <v>11</v>
      </c>
      <c r="H358" s="15">
        <v>0</v>
      </c>
      <c r="I358" s="17">
        <f>SUM(F358:H358)</f>
        <v>99</v>
      </c>
      <c r="J358" s="15">
        <v>44</v>
      </c>
      <c r="K358" s="15">
        <v>7</v>
      </c>
      <c r="L358" s="15">
        <v>10</v>
      </c>
      <c r="M358" s="15">
        <v>8</v>
      </c>
      <c r="N358" s="15">
        <v>0</v>
      </c>
      <c r="O358" s="15">
        <v>20</v>
      </c>
      <c r="P358" s="15">
        <f>SUM(J358:O358)</f>
        <v>89</v>
      </c>
      <c r="Q358" s="15">
        <v>10</v>
      </c>
      <c r="R358" s="15">
        <v>0</v>
      </c>
      <c r="S358" s="15">
        <v>0</v>
      </c>
      <c r="T358" s="15">
        <v>0</v>
      </c>
      <c r="U358" s="15">
        <v>109</v>
      </c>
      <c r="V358" s="18"/>
      <c r="W358" s="18"/>
      <c r="X358" s="30"/>
      <c r="Y358" s="30"/>
      <c r="Z358" s="30"/>
      <c r="AA358" s="30"/>
      <c r="AB358" s="34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</row>
    <row r="359" spans="1:41" s="53" customFormat="1" ht="18" customHeight="1">
      <c r="A359" s="47"/>
      <c r="B359" s="133"/>
      <c r="C359" s="107" t="s">
        <v>12</v>
      </c>
      <c r="D359" s="51"/>
      <c r="E359" s="52"/>
      <c r="F359" s="24">
        <f>SUM(F357:F358)</f>
        <v>88</v>
      </c>
      <c r="G359" s="24">
        <f>SUM(G357:G358)</f>
        <v>11</v>
      </c>
      <c r="H359" s="24">
        <f>SUM(H357:H358)</f>
        <v>0</v>
      </c>
      <c r="I359" s="25">
        <f>SUM(F359:H359)</f>
        <v>99</v>
      </c>
      <c r="J359" s="24">
        <f aca="true" t="shared" si="107" ref="J359:O359">SUM(J357:J358)</f>
        <v>44</v>
      </c>
      <c r="K359" s="24">
        <f t="shared" si="107"/>
        <v>7</v>
      </c>
      <c r="L359" s="24">
        <f t="shared" si="107"/>
        <v>10</v>
      </c>
      <c r="M359" s="24">
        <f t="shared" si="107"/>
        <v>8</v>
      </c>
      <c r="N359" s="24">
        <f t="shared" si="107"/>
        <v>0</v>
      </c>
      <c r="O359" s="24">
        <f t="shared" si="107"/>
        <v>20</v>
      </c>
      <c r="P359" s="24">
        <f>SUM(J359:O359)</f>
        <v>89</v>
      </c>
      <c r="Q359" s="24">
        <f>SUM(Q357:Q358)</f>
        <v>10</v>
      </c>
      <c r="R359" s="24">
        <f>SUM(R357:R358)</f>
        <v>0</v>
      </c>
      <c r="S359" s="24">
        <f>SUM(S357:S358)</f>
        <v>0</v>
      </c>
      <c r="T359" s="24">
        <f>SUM(T357:T358)</f>
        <v>0</v>
      </c>
      <c r="U359" s="24">
        <f>SUM(U357:U358)</f>
        <v>109</v>
      </c>
      <c r="V359" s="26">
        <f>IF(I359-Q359=0,"",IF(D359="",(P359+S359)/(I359-Q359),IF(AND(D359&lt;&gt;"",(P359+S359)/(I359-Q359)&gt;=50%),(P359+S359)/(I359-Q359),"")))</f>
        <v>1</v>
      </c>
      <c r="W359" s="26">
        <f>IF(I359=O359,"",IF(V359="",0,(P359+Q359+S359-O359)/(I359-O359)))</f>
        <v>1</v>
      </c>
      <c r="X359" s="49"/>
      <c r="Y359" s="49"/>
      <c r="Z359" s="49"/>
      <c r="AA359" s="49"/>
      <c r="AB359" s="50"/>
      <c r="AC359" s="49"/>
      <c r="AD359" s="49"/>
      <c r="AE359" s="49"/>
      <c r="AF359" s="49"/>
      <c r="AG359" s="49"/>
      <c r="AH359" s="49"/>
      <c r="AI359" s="49"/>
      <c r="AJ359" s="49"/>
      <c r="AK359" s="49"/>
      <c r="AL359" s="49"/>
      <c r="AM359" s="49"/>
      <c r="AN359" s="49"/>
      <c r="AO359" s="49"/>
    </row>
    <row r="360" spans="1:41" s="39" customFormat="1" ht="24.75" customHeight="1">
      <c r="A360" s="32"/>
      <c r="B360" s="129" t="s">
        <v>117</v>
      </c>
      <c r="C360" s="14" t="s">
        <v>155</v>
      </c>
      <c r="D360" s="29" t="s">
        <v>191</v>
      </c>
      <c r="E360" s="16" t="s">
        <v>192</v>
      </c>
      <c r="F360" s="15"/>
      <c r="G360" s="15"/>
      <c r="H360" s="15"/>
      <c r="I360" s="17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8"/>
      <c r="W360" s="18"/>
      <c r="X360" s="30"/>
      <c r="Y360" s="30"/>
      <c r="Z360" s="30"/>
      <c r="AA360" s="30"/>
      <c r="AB360" s="34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</row>
    <row r="361" spans="1:41" s="39" customFormat="1" ht="21.75" customHeight="1">
      <c r="A361" s="32">
        <v>8</v>
      </c>
      <c r="B361" s="136"/>
      <c r="C361" s="20" t="str">
        <f>IF(A361="","VARA",VLOOKUP(A361,'[1]varas'!$A$4:$B$67,2))</f>
        <v>8ª VT Recife</v>
      </c>
      <c r="D361" s="15"/>
      <c r="E361" s="16"/>
      <c r="F361" s="15">
        <v>0</v>
      </c>
      <c r="G361" s="15">
        <v>19</v>
      </c>
      <c r="H361" s="15">
        <v>3</v>
      </c>
      <c r="I361" s="17">
        <f>SUM(F361:H361)</f>
        <v>22</v>
      </c>
      <c r="J361" s="15">
        <v>0</v>
      </c>
      <c r="K361" s="15">
        <v>0</v>
      </c>
      <c r="L361" s="15">
        <v>0</v>
      </c>
      <c r="M361" s="15">
        <v>0</v>
      </c>
      <c r="N361" s="15">
        <v>0</v>
      </c>
      <c r="O361" s="15">
        <v>0</v>
      </c>
      <c r="P361" s="15">
        <f>SUM(J361:O361)</f>
        <v>0</v>
      </c>
      <c r="Q361" s="15">
        <v>19</v>
      </c>
      <c r="R361" s="15">
        <v>3</v>
      </c>
      <c r="S361" s="15">
        <v>0</v>
      </c>
      <c r="T361" s="15">
        <v>0</v>
      </c>
      <c r="U361" s="15">
        <v>0</v>
      </c>
      <c r="V361" s="18"/>
      <c r="W361" s="18"/>
      <c r="X361" s="30"/>
      <c r="Y361" s="30"/>
      <c r="Z361" s="30"/>
      <c r="AA361" s="30"/>
      <c r="AB361" s="34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</row>
    <row r="362" spans="1:41" s="39" customFormat="1" ht="21.75" customHeight="1">
      <c r="A362" s="32">
        <v>10</v>
      </c>
      <c r="B362" s="136"/>
      <c r="C362" s="20" t="str">
        <f>IF(A362="","VARA",VLOOKUP(A362,'[1]varas'!$A$4:$B$67,2))</f>
        <v>10ª VT Recife</v>
      </c>
      <c r="D362" s="15"/>
      <c r="E362" s="16"/>
      <c r="F362" s="15">
        <v>0</v>
      </c>
      <c r="G362" s="15">
        <v>0</v>
      </c>
      <c r="H362" s="15">
        <v>1</v>
      </c>
      <c r="I362" s="17">
        <f>SUM(F362:H362)</f>
        <v>1</v>
      </c>
      <c r="J362" s="15">
        <v>0</v>
      </c>
      <c r="K362" s="15">
        <v>0</v>
      </c>
      <c r="L362" s="15">
        <v>0</v>
      </c>
      <c r="M362" s="15">
        <v>0</v>
      </c>
      <c r="N362" s="15">
        <v>0</v>
      </c>
      <c r="O362" s="15">
        <v>0</v>
      </c>
      <c r="P362" s="15">
        <f>SUM(J362:O362)</f>
        <v>0</v>
      </c>
      <c r="Q362" s="15">
        <v>0</v>
      </c>
      <c r="R362" s="15">
        <v>1</v>
      </c>
      <c r="S362" s="15">
        <v>0</v>
      </c>
      <c r="T362" s="15">
        <v>0</v>
      </c>
      <c r="U362" s="15">
        <v>0</v>
      </c>
      <c r="V362" s="18"/>
      <c r="W362" s="18"/>
      <c r="X362" s="30"/>
      <c r="Y362" s="30"/>
      <c r="Z362" s="30"/>
      <c r="AA362" s="30"/>
      <c r="AB362" s="34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</row>
    <row r="363" spans="1:41" s="39" customFormat="1" ht="21.75" customHeight="1">
      <c r="A363" s="32">
        <v>16</v>
      </c>
      <c r="B363" s="136"/>
      <c r="C363" s="20" t="str">
        <f>IF(A363="","VARA",VLOOKUP(A363,'[1]varas'!$A$4:$B$67,2))</f>
        <v>16ª VT Recife</v>
      </c>
      <c r="D363" s="15"/>
      <c r="E363" s="16"/>
      <c r="F363" s="15">
        <v>0</v>
      </c>
      <c r="G363" s="15">
        <v>0</v>
      </c>
      <c r="H363" s="15">
        <v>6</v>
      </c>
      <c r="I363" s="17">
        <f>SUM(F363:H363)</f>
        <v>6</v>
      </c>
      <c r="J363" s="15">
        <v>0</v>
      </c>
      <c r="K363" s="15">
        <v>0</v>
      </c>
      <c r="L363" s="15">
        <v>0</v>
      </c>
      <c r="M363" s="15">
        <v>0</v>
      </c>
      <c r="N363" s="15">
        <v>0</v>
      </c>
      <c r="O363" s="15">
        <v>0</v>
      </c>
      <c r="P363" s="15">
        <f>SUM(J363:O363)</f>
        <v>0</v>
      </c>
      <c r="Q363" s="15">
        <v>0</v>
      </c>
      <c r="R363" s="15">
        <v>6</v>
      </c>
      <c r="S363" s="15">
        <v>0</v>
      </c>
      <c r="T363" s="15">
        <v>0</v>
      </c>
      <c r="U363" s="15">
        <v>0</v>
      </c>
      <c r="V363" s="18"/>
      <c r="W363" s="18"/>
      <c r="X363" s="30"/>
      <c r="Y363" s="30"/>
      <c r="Z363" s="30"/>
      <c r="AA363" s="30"/>
      <c r="AB363" s="34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</row>
    <row r="364" spans="1:41" s="39" customFormat="1" ht="21" customHeight="1">
      <c r="A364" s="32">
        <v>66</v>
      </c>
      <c r="B364" s="136"/>
      <c r="C364" s="20" t="s">
        <v>163</v>
      </c>
      <c r="D364" s="15"/>
      <c r="E364" s="16"/>
      <c r="F364" s="15">
        <v>0</v>
      </c>
      <c r="G364" s="15">
        <v>0</v>
      </c>
      <c r="H364" s="15">
        <v>1</v>
      </c>
      <c r="I364" s="17">
        <f>SUM(F364:H364)</f>
        <v>1</v>
      </c>
      <c r="J364" s="15">
        <v>0</v>
      </c>
      <c r="K364" s="15">
        <v>0</v>
      </c>
      <c r="L364" s="15">
        <v>0</v>
      </c>
      <c r="M364" s="15">
        <v>0</v>
      </c>
      <c r="N364" s="15">
        <v>0</v>
      </c>
      <c r="O364" s="15">
        <v>0</v>
      </c>
      <c r="P364" s="15">
        <f>SUM(J364:O364)</f>
        <v>0</v>
      </c>
      <c r="Q364" s="15">
        <v>0</v>
      </c>
      <c r="R364" s="15">
        <v>1</v>
      </c>
      <c r="S364" s="15">
        <v>0</v>
      </c>
      <c r="T364" s="15">
        <v>0</v>
      </c>
      <c r="U364" s="15">
        <v>0</v>
      </c>
      <c r="V364" s="18"/>
      <c r="W364" s="18"/>
      <c r="X364" s="30"/>
      <c r="Y364" s="30"/>
      <c r="Z364" s="30"/>
      <c r="AA364" s="30"/>
      <c r="AB364" s="34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</row>
    <row r="365" spans="1:41" s="53" customFormat="1" ht="17.25" customHeight="1">
      <c r="A365" s="47"/>
      <c r="B365" s="136"/>
      <c r="C365" s="20" t="s">
        <v>12</v>
      </c>
      <c r="D365" s="24"/>
      <c r="E365" s="48"/>
      <c r="F365" s="24">
        <f>SUM(F360:F364)</f>
        <v>0</v>
      </c>
      <c r="G365" s="24">
        <f>SUM(G360:G364)</f>
        <v>19</v>
      </c>
      <c r="H365" s="24">
        <f>SUM(H360:H364)</f>
        <v>11</v>
      </c>
      <c r="I365" s="40">
        <f>SUM(F365:H365)</f>
        <v>30</v>
      </c>
      <c r="J365" s="24">
        <f aca="true" t="shared" si="108" ref="J365:O365">SUM(J360:J364)</f>
        <v>0</v>
      </c>
      <c r="K365" s="24">
        <f t="shared" si="108"/>
        <v>0</v>
      </c>
      <c r="L365" s="24">
        <f t="shared" si="108"/>
        <v>0</v>
      </c>
      <c r="M365" s="24">
        <f t="shared" si="108"/>
        <v>0</v>
      </c>
      <c r="N365" s="24">
        <f t="shared" si="108"/>
        <v>0</v>
      </c>
      <c r="O365" s="24">
        <f t="shared" si="108"/>
        <v>0</v>
      </c>
      <c r="P365" s="24">
        <f>SUM(J365:O365)</f>
        <v>0</v>
      </c>
      <c r="Q365" s="24">
        <f>SUM(Q360:Q364)</f>
        <v>19</v>
      </c>
      <c r="R365" s="24">
        <f>SUM(R360:R364)</f>
        <v>11</v>
      </c>
      <c r="S365" s="24">
        <f>SUM(S360:S364)</f>
        <v>0</v>
      </c>
      <c r="T365" s="24">
        <f>SUM(T360:T364)</f>
        <v>0</v>
      </c>
      <c r="U365" s="24">
        <f>SUM(U360:U364)</f>
        <v>0</v>
      </c>
      <c r="V365" s="26">
        <f>IF(I365-Q365=0,"",IF(D365="",(P365+S365)/(I365-Q365),IF(AND(D365&lt;&gt;"",(P365+S365)/(I365-Q365)&gt;=50%),(P365+S365)/(I365-Q365),"")))</f>
        <v>0</v>
      </c>
      <c r="W365" s="26">
        <f>IF(I365=O365,"",IF(V365="",0,(P365+Q365+S365-O365)/(I365-O365)))</f>
        <v>0.6333333333333333</v>
      </c>
      <c r="X365" s="49"/>
      <c r="Y365" s="49"/>
      <c r="Z365" s="49"/>
      <c r="AA365" s="49"/>
      <c r="AB365" s="50"/>
      <c r="AC365" s="49"/>
      <c r="AD365" s="49"/>
      <c r="AE365" s="49"/>
      <c r="AF365" s="49"/>
      <c r="AG365" s="49"/>
      <c r="AH365" s="49"/>
      <c r="AI365" s="49"/>
      <c r="AJ365" s="49"/>
      <c r="AK365" s="49"/>
      <c r="AL365" s="49"/>
      <c r="AM365" s="49"/>
      <c r="AN365" s="49"/>
      <c r="AO365" s="49"/>
    </row>
    <row r="366" spans="1:41" s="39" customFormat="1" ht="21.75" customHeight="1">
      <c r="A366" s="32"/>
      <c r="B366" s="136" t="s">
        <v>118</v>
      </c>
      <c r="C366" s="14" t="s">
        <v>2</v>
      </c>
      <c r="D366" s="29"/>
      <c r="E366" s="16" t="s">
        <v>27</v>
      </c>
      <c r="F366" s="15"/>
      <c r="G366" s="15"/>
      <c r="H366" s="15"/>
      <c r="I366" s="17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8"/>
      <c r="W366" s="18"/>
      <c r="X366" s="30"/>
      <c r="Y366" s="30"/>
      <c r="Z366" s="30"/>
      <c r="AA366" s="30"/>
      <c r="AB366" s="34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</row>
    <row r="367" spans="1:41" s="39" customFormat="1" ht="20.25" customHeight="1">
      <c r="A367" s="32">
        <v>40</v>
      </c>
      <c r="B367" s="136"/>
      <c r="C367" s="20" t="str">
        <f>IF(A367="","VARA",VLOOKUP(A367,'[1]varas'!$A$4:$B$67,2))</f>
        <v>3ª VT Olinda</v>
      </c>
      <c r="D367" s="15"/>
      <c r="E367" s="16"/>
      <c r="F367" s="15">
        <f>57+57+8+4</f>
        <v>126</v>
      </c>
      <c r="G367" s="15">
        <v>10</v>
      </c>
      <c r="H367" s="15">
        <v>2</v>
      </c>
      <c r="I367" s="17">
        <f>SUM(F367:H367)</f>
        <v>138</v>
      </c>
      <c r="J367" s="15">
        <v>28</v>
      </c>
      <c r="K367" s="15">
        <v>23</v>
      </c>
      <c r="L367" s="15">
        <v>8</v>
      </c>
      <c r="M367" s="15">
        <v>4</v>
      </c>
      <c r="N367" s="15">
        <v>0</v>
      </c>
      <c r="O367" s="15">
        <v>57</v>
      </c>
      <c r="P367" s="15">
        <f>SUM(J367:O367)</f>
        <v>120</v>
      </c>
      <c r="Q367" s="15">
        <v>0</v>
      </c>
      <c r="R367" s="15">
        <v>17</v>
      </c>
      <c r="S367" s="15">
        <v>0</v>
      </c>
      <c r="T367" s="15">
        <v>1</v>
      </c>
      <c r="U367" s="15">
        <v>252</v>
      </c>
      <c r="V367" s="18"/>
      <c r="W367" s="18"/>
      <c r="X367" s="30"/>
      <c r="Y367" s="30"/>
      <c r="Z367" s="30"/>
      <c r="AA367" s="30"/>
      <c r="AB367" s="34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</row>
    <row r="368" spans="1:41" s="53" customFormat="1" ht="22.5" customHeight="1">
      <c r="A368" s="47"/>
      <c r="B368" s="130"/>
      <c r="C368" s="21" t="s">
        <v>12</v>
      </c>
      <c r="D368" s="51"/>
      <c r="E368" s="52"/>
      <c r="F368" s="24">
        <f>SUM(F366:F367)</f>
        <v>126</v>
      </c>
      <c r="G368" s="24">
        <f>SUM(G366:G367)</f>
        <v>10</v>
      </c>
      <c r="H368" s="24">
        <f>SUM(H366:H367)</f>
        <v>2</v>
      </c>
      <c r="I368" s="25">
        <f>SUM(F368:H368)</f>
        <v>138</v>
      </c>
      <c r="J368" s="24">
        <f aca="true" t="shared" si="109" ref="J368:O368">SUM(J366:J367)</f>
        <v>28</v>
      </c>
      <c r="K368" s="24">
        <f t="shared" si="109"/>
        <v>23</v>
      </c>
      <c r="L368" s="24">
        <f t="shared" si="109"/>
        <v>8</v>
      </c>
      <c r="M368" s="24">
        <f t="shared" si="109"/>
        <v>4</v>
      </c>
      <c r="N368" s="24">
        <f t="shared" si="109"/>
        <v>0</v>
      </c>
      <c r="O368" s="24">
        <f t="shared" si="109"/>
        <v>57</v>
      </c>
      <c r="P368" s="24">
        <f>SUM(J368:O368)</f>
        <v>120</v>
      </c>
      <c r="Q368" s="24">
        <f>SUM(Q366:Q367)</f>
        <v>0</v>
      </c>
      <c r="R368" s="24">
        <f>SUM(R366:R367)</f>
        <v>17</v>
      </c>
      <c r="S368" s="24">
        <f>SUM(S366:S367)</f>
        <v>0</v>
      </c>
      <c r="T368" s="24">
        <f>SUM(T366:T367)</f>
        <v>1</v>
      </c>
      <c r="U368" s="24">
        <f>SUM(U366:U367)</f>
        <v>252</v>
      </c>
      <c r="V368" s="26">
        <f>IF(I368-Q368=0,"",IF(D368="",(P368+S368)/(I368-Q368),IF(AND(D368&lt;&gt;"",(P368+S368)/(I368-Q368)&gt;=50%),(P368+S368)/(I368-Q368),"")))</f>
        <v>0.8695652173913043</v>
      </c>
      <c r="W368" s="26">
        <f>IF(I368=O368,"",IF(V368="",0,(P368+Q368+S368-O368)/(I368-O368)))</f>
        <v>0.7777777777777778</v>
      </c>
      <c r="X368" s="49"/>
      <c r="Y368" s="49"/>
      <c r="Z368" s="49"/>
      <c r="AA368" s="49"/>
      <c r="AB368" s="50"/>
      <c r="AC368" s="49"/>
      <c r="AD368" s="49"/>
      <c r="AE368" s="49"/>
      <c r="AF368" s="49"/>
      <c r="AG368" s="49"/>
      <c r="AH368" s="49"/>
      <c r="AI368" s="49"/>
      <c r="AJ368" s="49"/>
      <c r="AK368" s="49"/>
      <c r="AL368" s="49"/>
      <c r="AM368" s="49"/>
      <c r="AN368" s="49"/>
      <c r="AO368" s="49"/>
    </row>
    <row r="369" spans="1:41" s="39" customFormat="1" ht="21.75" customHeight="1">
      <c r="A369" s="32"/>
      <c r="B369" s="137" t="s">
        <v>119</v>
      </c>
      <c r="C369" s="105" t="s">
        <v>2</v>
      </c>
      <c r="D369" s="15" t="s">
        <v>30</v>
      </c>
      <c r="E369" s="16" t="s">
        <v>245</v>
      </c>
      <c r="F369" s="15"/>
      <c r="G369" s="15"/>
      <c r="H369" s="15"/>
      <c r="I369" s="17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8"/>
      <c r="W369" s="18"/>
      <c r="X369" s="30"/>
      <c r="Y369" s="30"/>
      <c r="Z369" s="30"/>
      <c r="AA369" s="30"/>
      <c r="AB369" s="34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</row>
    <row r="370" spans="1:41" s="39" customFormat="1" ht="18.75" customHeight="1">
      <c r="A370" s="32">
        <v>53</v>
      </c>
      <c r="B370" s="138"/>
      <c r="C370" s="106" t="str">
        <f>IF(A370="","VARA",VLOOKUP(A370,'[1]varas'!$A$4:$B$67,2))</f>
        <v>VT Nazaré</v>
      </c>
      <c r="D370" s="15"/>
      <c r="E370" s="16"/>
      <c r="F370" s="15">
        <f>60+102+20</f>
        <v>182</v>
      </c>
      <c r="G370" s="15">
        <v>12</v>
      </c>
      <c r="H370" s="15">
        <v>57</v>
      </c>
      <c r="I370" s="17">
        <f>SUM(F370:H370)</f>
        <v>251</v>
      </c>
      <c r="J370" s="15">
        <v>22</v>
      </c>
      <c r="K370" s="15">
        <v>41</v>
      </c>
      <c r="L370" s="15">
        <v>12</v>
      </c>
      <c r="M370" s="15">
        <v>0</v>
      </c>
      <c r="N370" s="15">
        <v>0</v>
      </c>
      <c r="O370" s="15">
        <v>102</v>
      </c>
      <c r="P370" s="15">
        <f>SUM(J370:O370)</f>
        <v>177</v>
      </c>
      <c r="Q370" s="15">
        <v>3</v>
      </c>
      <c r="R370" s="15">
        <v>53</v>
      </c>
      <c r="S370" s="15">
        <v>1</v>
      </c>
      <c r="T370" s="15">
        <v>17</v>
      </c>
      <c r="U370" s="15">
        <v>191</v>
      </c>
      <c r="V370" s="18"/>
      <c r="W370" s="18"/>
      <c r="X370" s="30"/>
      <c r="Y370" s="30"/>
      <c r="Z370" s="30"/>
      <c r="AA370" s="30"/>
      <c r="AB370" s="34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</row>
    <row r="371" spans="1:41" s="53" customFormat="1" ht="20.25" customHeight="1">
      <c r="A371" s="47"/>
      <c r="B371" s="133"/>
      <c r="C371" s="107" t="s">
        <v>12</v>
      </c>
      <c r="D371" s="51"/>
      <c r="E371" s="52"/>
      <c r="F371" s="24">
        <f>SUM(F369:F370)</f>
        <v>182</v>
      </c>
      <c r="G371" s="24">
        <f>SUM(G369:G370)</f>
        <v>12</v>
      </c>
      <c r="H371" s="24">
        <f>SUM(H369:H370)</f>
        <v>57</v>
      </c>
      <c r="I371" s="25">
        <f>SUM(F371:H371)</f>
        <v>251</v>
      </c>
      <c r="J371" s="24">
        <f aca="true" t="shared" si="110" ref="J371:O371">SUM(J369:J370)</f>
        <v>22</v>
      </c>
      <c r="K371" s="24">
        <f t="shared" si="110"/>
        <v>41</v>
      </c>
      <c r="L371" s="24">
        <f t="shared" si="110"/>
        <v>12</v>
      </c>
      <c r="M371" s="24">
        <f t="shared" si="110"/>
        <v>0</v>
      </c>
      <c r="N371" s="24">
        <f t="shared" si="110"/>
        <v>0</v>
      </c>
      <c r="O371" s="24">
        <f t="shared" si="110"/>
        <v>102</v>
      </c>
      <c r="P371" s="24">
        <f>SUM(J371:O371)</f>
        <v>177</v>
      </c>
      <c r="Q371" s="24">
        <f>SUM(Q369:Q370)</f>
        <v>3</v>
      </c>
      <c r="R371" s="24">
        <f>SUM(R369:R370)</f>
        <v>53</v>
      </c>
      <c r="S371" s="24">
        <f>SUM(S369:S370)</f>
        <v>1</v>
      </c>
      <c r="T371" s="24">
        <f>SUM(T369:T370)</f>
        <v>17</v>
      </c>
      <c r="U371" s="24">
        <f>SUM(U369:U370)</f>
        <v>191</v>
      </c>
      <c r="V371" s="26">
        <f>IF(I371-Q371=0,"",IF(D371="",(P371+S371)/(I371-Q371),IF(AND(D371&lt;&gt;"",(P371+S371)/(I371-Q371)&gt;=50%),(P371+S371)/(I371-Q371),"")))</f>
        <v>0.717741935483871</v>
      </c>
      <c r="W371" s="26">
        <f>IF(I371=O371,"",IF(V371="",0,(P371+Q371+S371-O371)/(I371-O371)))</f>
        <v>0.5302013422818792</v>
      </c>
      <c r="X371" s="49"/>
      <c r="Y371" s="49"/>
      <c r="Z371" s="49"/>
      <c r="AA371" s="49"/>
      <c r="AB371" s="50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  <c r="AM371" s="49"/>
      <c r="AN371" s="49"/>
      <c r="AO371" s="49"/>
    </row>
    <row r="372" spans="1:41" s="53" customFormat="1" ht="23.25" customHeight="1">
      <c r="A372" s="47"/>
      <c r="B372" s="137" t="s">
        <v>180</v>
      </c>
      <c r="C372" s="105" t="s">
        <v>155</v>
      </c>
      <c r="D372" s="29"/>
      <c r="E372" s="16" t="s">
        <v>27</v>
      </c>
      <c r="F372" s="15"/>
      <c r="G372" s="15"/>
      <c r="H372" s="15"/>
      <c r="I372" s="17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8"/>
      <c r="W372" s="18"/>
      <c r="X372" s="49"/>
      <c r="Y372" s="49"/>
      <c r="Z372" s="49"/>
      <c r="AA372" s="49"/>
      <c r="AB372" s="50"/>
      <c r="AC372" s="49"/>
      <c r="AD372" s="49"/>
      <c r="AE372" s="49"/>
      <c r="AF372" s="49"/>
      <c r="AG372" s="49"/>
      <c r="AH372" s="49"/>
      <c r="AI372" s="49"/>
      <c r="AJ372" s="49"/>
      <c r="AK372" s="49"/>
      <c r="AL372" s="49"/>
      <c r="AM372" s="49"/>
      <c r="AN372" s="49"/>
      <c r="AO372" s="49"/>
    </row>
    <row r="373" spans="1:41" s="53" customFormat="1" ht="20.25" customHeight="1">
      <c r="A373" s="47">
        <v>63</v>
      </c>
      <c r="B373" s="138"/>
      <c r="C373" s="110" t="str">
        <f>IF(A373="","VARA",VLOOKUP(A373,'[1]varas'!$A$4:$B$67,2))</f>
        <v>PAJT Sertânia</v>
      </c>
      <c r="D373" s="103"/>
      <c r="E373" s="91"/>
      <c r="F373" s="92">
        <f>92+22</f>
        <v>114</v>
      </c>
      <c r="G373" s="92">
        <v>15</v>
      </c>
      <c r="H373" s="92">
        <v>0</v>
      </c>
      <c r="I373" s="93">
        <f>SUM(F373:H373)</f>
        <v>129</v>
      </c>
      <c r="J373" s="92">
        <v>66</v>
      </c>
      <c r="K373" s="92">
        <v>27</v>
      </c>
      <c r="L373" s="92">
        <v>22</v>
      </c>
      <c r="M373" s="92">
        <v>0</v>
      </c>
      <c r="N373" s="92">
        <v>0</v>
      </c>
      <c r="O373" s="92">
        <v>0</v>
      </c>
      <c r="P373" s="92">
        <f>SUM(J373:O373)</f>
        <v>115</v>
      </c>
      <c r="Q373" s="92">
        <v>14</v>
      </c>
      <c r="R373" s="92">
        <v>0</v>
      </c>
      <c r="S373" s="92">
        <v>0</v>
      </c>
      <c r="T373" s="92">
        <v>0</v>
      </c>
      <c r="U373" s="92">
        <v>127</v>
      </c>
      <c r="V373" s="94"/>
      <c r="W373" s="94"/>
      <c r="X373" s="49"/>
      <c r="Y373" s="49"/>
      <c r="Z373" s="49"/>
      <c r="AA373" s="49"/>
      <c r="AB373" s="50"/>
      <c r="AC373" s="49"/>
      <c r="AD373" s="49"/>
      <c r="AE373" s="49"/>
      <c r="AF373" s="49"/>
      <c r="AG373" s="49"/>
      <c r="AH373" s="49"/>
      <c r="AI373" s="49"/>
      <c r="AJ373" s="49"/>
      <c r="AK373" s="49"/>
      <c r="AL373" s="49"/>
      <c r="AM373" s="49"/>
      <c r="AN373" s="49"/>
      <c r="AO373" s="49"/>
    </row>
    <row r="374" spans="1:41" s="53" customFormat="1" ht="20.25" customHeight="1">
      <c r="A374" s="47">
        <v>58</v>
      </c>
      <c r="B374" s="138"/>
      <c r="C374" s="110" t="str">
        <f>IF(A374="","VARA",VLOOKUP(A374,'[1]varas'!$A$4:$B$67,2))</f>
        <v>VT S.Talhada</v>
      </c>
      <c r="D374" s="103"/>
      <c r="E374" s="91"/>
      <c r="F374" s="92">
        <v>40</v>
      </c>
      <c r="G374" s="92">
        <v>10</v>
      </c>
      <c r="H374" s="92">
        <v>0</v>
      </c>
      <c r="I374" s="93">
        <f>SUM(F374:H374)</f>
        <v>50</v>
      </c>
      <c r="J374" s="92">
        <v>25</v>
      </c>
      <c r="K374" s="92">
        <v>5</v>
      </c>
      <c r="L374" s="92">
        <v>0</v>
      </c>
      <c r="M374" s="92">
        <v>0</v>
      </c>
      <c r="N374" s="92">
        <v>0</v>
      </c>
      <c r="O374" s="92">
        <v>20</v>
      </c>
      <c r="P374" s="92">
        <f>SUM(J374:O374)</f>
        <v>50</v>
      </c>
      <c r="Q374" s="92">
        <v>0</v>
      </c>
      <c r="R374" s="92">
        <v>0</v>
      </c>
      <c r="S374" s="92">
        <v>0</v>
      </c>
      <c r="T374" s="92">
        <v>0</v>
      </c>
      <c r="U374" s="92">
        <v>78</v>
      </c>
      <c r="V374" s="94"/>
      <c r="W374" s="94"/>
      <c r="X374" s="49"/>
      <c r="Y374" s="49"/>
      <c r="Z374" s="49"/>
      <c r="AA374" s="49"/>
      <c r="AB374" s="50"/>
      <c r="AC374" s="49"/>
      <c r="AD374" s="49"/>
      <c r="AE374" s="49"/>
      <c r="AF374" s="49"/>
      <c r="AG374" s="49"/>
      <c r="AH374" s="49"/>
      <c r="AI374" s="49"/>
      <c r="AJ374" s="49"/>
      <c r="AK374" s="49"/>
      <c r="AL374" s="49"/>
      <c r="AM374" s="49"/>
      <c r="AN374" s="49"/>
      <c r="AO374" s="49"/>
    </row>
    <row r="375" spans="1:41" s="53" customFormat="1" ht="20.25" customHeight="1">
      <c r="A375" s="47"/>
      <c r="B375" s="133"/>
      <c r="C375" s="106" t="s">
        <v>12</v>
      </c>
      <c r="D375" s="15"/>
      <c r="E375" s="16"/>
      <c r="F375" s="24">
        <f>SUM(F372:F374)</f>
        <v>154</v>
      </c>
      <c r="G375" s="24">
        <f>SUM(G372:G374)</f>
        <v>25</v>
      </c>
      <c r="H375" s="24">
        <f>SUM(H372:H374)</f>
        <v>0</v>
      </c>
      <c r="I375" s="40">
        <f>SUM(F375:H375)</f>
        <v>179</v>
      </c>
      <c r="J375" s="24">
        <f aca="true" t="shared" si="111" ref="J375:O375">SUM(J372:J374)</f>
        <v>91</v>
      </c>
      <c r="K375" s="24">
        <f t="shared" si="111"/>
        <v>32</v>
      </c>
      <c r="L375" s="24">
        <f t="shared" si="111"/>
        <v>22</v>
      </c>
      <c r="M375" s="24">
        <f t="shared" si="111"/>
        <v>0</v>
      </c>
      <c r="N375" s="24">
        <f t="shared" si="111"/>
        <v>0</v>
      </c>
      <c r="O375" s="24">
        <f t="shared" si="111"/>
        <v>20</v>
      </c>
      <c r="P375" s="24">
        <f>SUM(J375:O375)</f>
        <v>165</v>
      </c>
      <c r="Q375" s="24">
        <f>SUM(Q372:Q374)</f>
        <v>14</v>
      </c>
      <c r="R375" s="24">
        <f>SUM(R372:R374)</f>
        <v>0</v>
      </c>
      <c r="S375" s="24">
        <f>SUM(S372:S374)</f>
        <v>0</v>
      </c>
      <c r="T375" s="24">
        <f>SUM(T372:T374)</f>
        <v>0</v>
      </c>
      <c r="U375" s="99">
        <f>SUM(U372:U374)</f>
        <v>205</v>
      </c>
      <c r="V375" s="26">
        <f>IF(I375-Q375=0,"",IF(D375="",(P375+S375)/(I375-Q375),IF(AND(D375&lt;&gt;"",(P375+S375)/(I375-Q375)&gt;=50%),(P375+S375)/(I375-Q375),"")))</f>
        <v>1</v>
      </c>
      <c r="W375" s="26">
        <f>IF(I375=O375,"",IF(V375="",0,(P375+Q375+S375-O375)/(I375-O375)))</f>
        <v>1</v>
      </c>
      <c r="X375" s="49"/>
      <c r="Y375" s="49"/>
      <c r="Z375" s="49"/>
      <c r="AA375" s="49"/>
      <c r="AB375" s="50"/>
      <c r="AC375" s="49"/>
      <c r="AD375" s="49"/>
      <c r="AE375" s="49"/>
      <c r="AF375" s="49"/>
      <c r="AG375" s="49"/>
      <c r="AH375" s="49"/>
      <c r="AI375" s="49"/>
      <c r="AJ375" s="49"/>
      <c r="AK375" s="49"/>
      <c r="AL375" s="49"/>
      <c r="AM375" s="49"/>
      <c r="AN375" s="49"/>
      <c r="AO375" s="49"/>
    </row>
    <row r="376" spans="1:41" s="39" customFormat="1" ht="24" customHeight="1">
      <c r="A376" s="32"/>
      <c r="B376" s="129" t="s">
        <v>120</v>
      </c>
      <c r="C376" s="14" t="s">
        <v>155</v>
      </c>
      <c r="D376" s="29" t="s">
        <v>30</v>
      </c>
      <c r="E376" s="16" t="s">
        <v>196</v>
      </c>
      <c r="F376" s="15"/>
      <c r="G376" s="15"/>
      <c r="H376" s="15"/>
      <c r="I376" s="17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8"/>
      <c r="W376" s="18"/>
      <c r="X376" s="30"/>
      <c r="Y376" s="30"/>
      <c r="Z376" s="30"/>
      <c r="AA376" s="30"/>
      <c r="AB376" s="34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</row>
    <row r="377" spans="1:41" s="39" customFormat="1" ht="21.75" customHeight="1">
      <c r="A377" s="32">
        <v>49</v>
      </c>
      <c r="B377" s="136"/>
      <c r="C377" s="20" t="str">
        <f>IF(A377="","VARA",VLOOKUP(A377,'[1]varas'!$A$4:$B$67,2))</f>
        <v>VT Escada</v>
      </c>
      <c r="D377" s="29"/>
      <c r="E377" s="16"/>
      <c r="F377" s="15">
        <f>41+68+9</f>
        <v>118</v>
      </c>
      <c r="G377" s="15">
        <v>0</v>
      </c>
      <c r="H377" s="15">
        <v>0</v>
      </c>
      <c r="I377" s="17">
        <f>SUM(F377:H377)</f>
        <v>118</v>
      </c>
      <c r="J377" s="15">
        <v>17</v>
      </c>
      <c r="K377" s="15">
        <v>21</v>
      </c>
      <c r="L377" s="15">
        <v>9</v>
      </c>
      <c r="M377" s="15">
        <v>0</v>
      </c>
      <c r="N377" s="15">
        <v>0</v>
      </c>
      <c r="O377" s="15">
        <v>68</v>
      </c>
      <c r="P377" s="15">
        <f>SUM(J377:O377)</f>
        <v>115</v>
      </c>
      <c r="Q377" s="15">
        <v>2</v>
      </c>
      <c r="R377" s="15">
        <v>1</v>
      </c>
      <c r="S377" s="15">
        <v>0</v>
      </c>
      <c r="T377" s="15">
        <v>0</v>
      </c>
      <c r="U377" s="15">
        <v>173</v>
      </c>
      <c r="V377" s="18"/>
      <c r="W377" s="18"/>
      <c r="X377" s="30"/>
      <c r="Y377" s="30"/>
      <c r="Z377" s="30"/>
      <c r="AA377" s="30"/>
      <c r="AB377" s="34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</row>
    <row r="378" spans="1:41" s="39" customFormat="1" ht="19.5" customHeight="1">
      <c r="A378" s="32">
        <v>36</v>
      </c>
      <c r="B378" s="136"/>
      <c r="C378" s="20" t="str">
        <f>IF(A378="","VARA",VLOOKUP(A378,'[1]varas'!$A$4:$B$67,2))</f>
        <v>3ª VT Jaboatão</v>
      </c>
      <c r="D378" s="29"/>
      <c r="E378" s="16"/>
      <c r="F378" s="15">
        <v>5</v>
      </c>
      <c r="G378" s="15">
        <v>0</v>
      </c>
      <c r="H378" s="15">
        <v>0</v>
      </c>
      <c r="I378" s="17">
        <f>SUM(F378:H378)</f>
        <v>5</v>
      </c>
      <c r="J378" s="15">
        <v>3</v>
      </c>
      <c r="K378" s="15">
        <v>0</v>
      </c>
      <c r="L378" s="15">
        <v>0</v>
      </c>
      <c r="M378" s="15">
        <v>0</v>
      </c>
      <c r="N378" s="15">
        <v>0</v>
      </c>
      <c r="O378" s="15">
        <v>2</v>
      </c>
      <c r="P378" s="15">
        <f>SUM(J378:O378)</f>
        <v>5</v>
      </c>
      <c r="Q378" s="15">
        <v>0</v>
      </c>
      <c r="R378" s="15">
        <v>0</v>
      </c>
      <c r="S378" s="15">
        <v>0</v>
      </c>
      <c r="T378" s="15">
        <v>0</v>
      </c>
      <c r="U378" s="15">
        <v>13</v>
      </c>
      <c r="V378" s="18"/>
      <c r="W378" s="18"/>
      <c r="X378" s="30"/>
      <c r="Y378" s="30"/>
      <c r="Z378" s="30"/>
      <c r="AA378" s="30"/>
      <c r="AB378" s="34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</row>
    <row r="379" spans="1:41" s="39" customFormat="1" ht="22.5" customHeight="1">
      <c r="A379" s="32">
        <v>30</v>
      </c>
      <c r="B379" s="136"/>
      <c r="C379" s="20" t="str">
        <f>IF(A379="","VARA",VLOOKUP(A379,'[1]varas'!$A$4:$B$67,2))</f>
        <v>3ª VT Caruaru</v>
      </c>
      <c r="D379" s="29"/>
      <c r="E379" s="16"/>
      <c r="F379" s="15">
        <v>7</v>
      </c>
      <c r="G379" s="15">
        <v>9</v>
      </c>
      <c r="H379" s="15">
        <v>8</v>
      </c>
      <c r="I379" s="17">
        <f>SUM(F379:H379)</f>
        <v>24</v>
      </c>
      <c r="J379" s="15">
        <v>16</v>
      </c>
      <c r="K379" s="15">
        <v>1</v>
      </c>
      <c r="L379" s="15">
        <v>0</v>
      </c>
      <c r="M379" s="15">
        <v>0</v>
      </c>
      <c r="N379" s="15">
        <v>0</v>
      </c>
      <c r="O379" s="15">
        <v>0</v>
      </c>
      <c r="P379" s="15">
        <f>SUM(J379:O379)</f>
        <v>17</v>
      </c>
      <c r="Q379" s="15">
        <v>0</v>
      </c>
      <c r="R379" s="15">
        <v>7</v>
      </c>
      <c r="S379" s="15">
        <v>0</v>
      </c>
      <c r="T379" s="15">
        <v>0</v>
      </c>
      <c r="U379" s="15">
        <v>10</v>
      </c>
      <c r="V379" s="18"/>
      <c r="W379" s="18"/>
      <c r="X379" s="30"/>
      <c r="Y379" s="30"/>
      <c r="Z379" s="30"/>
      <c r="AA379" s="30"/>
      <c r="AB379" s="34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</row>
    <row r="380" spans="1:41" s="39" customFormat="1" ht="21.75" customHeight="1">
      <c r="A380" s="32"/>
      <c r="B380" s="130"/>
      <c r="C380" s="20" t="s">
        <v>12</v>
      </c>
      <c r="D380" s="15"/>
      <c r="E380" s="16"/>
      <c r="F380" s="24">
        <f>SUM(F376:F379)</f>
        <v>130</v>
      </c>
      <c r="G380" s="24">
        <f>SUM(G376:G379)</f>
        <v>9</v>
      </c>
      <c r="H380" s="24">
        <f>SUM(H376:H379)</f>
        <v>8</v>
      </c>
      <c r="I380" s="40">
        <f>SUM(F380:H380)</f>
        <v>147</v>
      </c>
      <c r="J380" s="24">
        <f aca="true" t="shared" si="112" ref="J380:O380">SUM(J376:J379)</f>
        <v>36</v>
      </c>
      <c r="K380" s="24">
        <f t="shared" si="112"/>
        <v>22</v>
      </c>
      <c r="L380" s="24">
        <f t="shared" si="112"/>
        <v>9</v>
      </c>
      <c r="M380" s="24">
        <f t="shared" si="112"/>
        <v>0</v>
      </c>
      <c r="N380" s="24">
        <f t="shared" si="112"/>
        <v>0</v>
      </c>
      <c r="O380" s="24">
        <f t="shared" si="112"/>
        <v>70</v>
      </c>
      <c r="P380" s="24">
        <f>SUM(J380:O380)</f>
        <v>137</v>
      </c>
      <c r="Q380" s="24">
        <f>SUM(Q376:Q379)</f>
        <v>2</v>
      </c>
      <c r="R380" s="24">
        <f>SUM(R376:R379)</f>
        <v>8</v>
      </c>
      <c r="S380" s="24">
        <f>SUM(S376:S379)</f>
        <v>0</v>
      </c>
      <c r="T380" s="24">
        <f>SUM(T376:T379)</f>
        <v>0</v>
      </c>
      <c r="U380" s="99">
        <f>SUM(U377:U379)</f>
        <v>196</v>
      </c>
      <c r="V380" s="26">
        <f>IF(I380-Q380=0,"",IF(D380="",(P380+S380)/(I380-Q380),IF(AND(D380&lt;&gt;"",(P380+S380)/(I380-Q380)&gt;=50%),(P380+S380)/(I380-Q380),"")))</f>
        <v>0.9448275862068966</v>
      </c>
      <c r="W380" s="26">
        <f>IF(I380=O380,"",IF(V380="",0,(P380+Q380+S380-O380)/(I380-O380)))</f>
        <v>0.8961038961038961</v>
      </c>
      <c r="X380" s="30"/>
      <c r="Y380" s="30"/>
      <c r="Z380" s="30"/>
      <c r="AA380" s="30"/>
      <c r="AB380" s="34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</row>
    <row r="381" spans="1:41" s="39" customFormat="1" ht="23.25" customHeight="1">
      <c r="A381" s="32"/>
      <c r="B381" s="137" t="s">
        <v>121</v>
      </c>
      <c r="C381" s="105" t="s">
        <v>2</v>
      </c>
      <c r="D381" s="29" t="s">
        <v>30</v>
      </c>
      <c r="E381" s="16" t="s">
        <v>208</v>
      </c>
      <c r="F381" s="15"/>
      <c r="G381" s="15"/>
      <c r="H381" s="15"/>
      <c r="I381" s="17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8"/>
      <c r="W381" s="18"/>
      <c r="X381" s="30"/>
      <c r="Y381" s="30"/>
      <c r="Z381" s="30"/>
      <c r="AA381" s="30"/>
      <c r="AB381" s="34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</row>
    <row r="382" spans="1:41" s="39" customFormat="1" ht="18.75" customHeight="1">
      <c r="A382" s="32">
        <v>49</v>
      </c>
      <c r="B382" s="138"/>
      <c r="C382" s="106" t="str">
        <f>IF(A382="","VARA",VLOOKUP(A382,'[1]varas'!$A$4:$B$67,2))</f>
        <v>VT Escada</v>
      </c>
      <c r="D382" s="15"/>
      <c r="E382" s="16"/>
      <c r="F382" s="15">
        <v>0</v>
      </c>
      <c r="G382" s="15">
        <v>4</v>
      </c>
      <c r="H382" s="15">
        <v>0</v>
      </c>
      <c r="I382" s="17">
        <f>SUM(F382:H382)</f>
        <v>4</v>
      </c>
      <c r="J382" s="15">
        <v>4</v>
      </c>
      <c r="K382" s="15">
        <v>0</v>
      </c>
      <c r="L382" s="15">
        <v>0</v>
      </c>
      <c r="M382" s="15">
        <v>0</v>
      </c>
      <c r="N382" s="15">
        <v>0</v>
      </c>
      <c r="O382" s="15">
        <v>0</v>
      </c>
      <c r="P382" s="15">
        <f>SUM(J382:O382)</f>
        <v>4</v>
      </c>
      <c r="Q382" s="15">
        <v>0</v>
      </c>
      <c r="R382" s="15">
        <v>0</v>
      </c>
      <c r="S382" s="15">
        <v>0</v>
      </c>
      <c r="T382" s="15">
        <v>0</v>
      </c>
      <c r="U382" s="15">
        <v>0</v>
      </c>
      <c r="V382" s="18"/>
      <c r="W382" s="18"/>
      <c r="X382" s="30"/>
      <c r="Y382" s="30"/>
      <c r="Z382" s="30"/>
      <c r="AA382" s="30"/>
      <c r="AB382" s="34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</row>
    <row r="383" spans="1:41" s="39" customFormat="1" ht="24" customHeight="1">
      <c r="A383" s="32"/>
      <c r="B383" s="133"/>
      <c r="C383" s="107" t="s">
        <v>12</v>
      </c>
      <c r="D383" s="33"/>
      <c r="E383" s="23"/>
      <c r="F383" s="24">
        <f>SUM(F381:F382)</f>
        <v>0</v>
      </c>
      <c r="G383" s="24">
        <f>SUM(G381:G382)</f>
        <v>4</v>
      </c>
      <c r="H383" s="24">
        <f>SUM(H381:H382)</f>
        <v>0</v>
      </c>
      <c r="I383" s="25">
        <f>SUM(F383:H383)</f>
        <v>4</v>
      </c>
      <c r="J383" s="24">
        <f aca="true" t="shared" si="113" ref="J383:O383">SUM(J381:J382)</f>
        <v>4</v>
      </c>
      <c r="K383" s="24">
        <f t="shared" si="113"/>
        <v>0</v>
      </c>
      <c r="L383" s="24">
        <f t="shared" si="113"/>
        <v>0</v>
      </c>
      <c r="M383" s="24">
        <f t="shared" si="113"/>
        <v>0</v>
      </c>
      <c r="N383" s="24">
        <f t="shared" si="113"/>
        <v>0</v>
      </c>
      <c r="O383" s="24">
        <f t="shared" si="113"/>
        <v>0</v>
      </c>
      <c r="P383" s="24">
        <f>SUM(J383:O383)</f>
        <v>4</v>
      </c>
      <c r="Q383" s="24">
        <f>SUM(Q381:Q382)</f>
        <v>0</v>
      </c>
      <c r="R383" s="24">
        <f>SUM(R381:R382)</f>
        <v>0</v>
      </c>
      <c r="S383" s="24">
        <f>SUM(S381:S382)</f>
        <v>0</v>
      </c>
      <c r="T383" s="24">
        <f>SUM(T381:T382)</f>
        <v>0</v>
      </c>
      <c r="U383" s="24">
        <f>SUM(U381:U382)</f>
        <v>0</v>
      </c>
      <c r="V383" s="26">
        <f>IF(I383-Q383=0,"",IF(D383="",(P383+S383)/(I383-Q383),IF(AND(D383&lt;&gt;"",(P383+S383)/(I383-Q383)&gt;=50%),(P383+S383)/(I383-Q383),"")))</f>
        <v>1</v>
      </c>
      <c r="W383" s="26">
        <f>IF(I383=O383,"",IF(V383="",0,(P383+Q383+S383-O383)/(I383-O383)))</f>
        <v>1</v>
      </c>
      <c r="X383" s="30"/>
      <c r="Y383" s="30"/>
      <c r="Z383" s="30"/>
      <c r="AA383" s="30"/>
      <c r="AB383" s="34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</row>
    <row r="384" spans="1:41" s="39" customFormat="1" ht="25.5" customHeight="1">
      <c r="A384" s="32"/>
      <c r="B384" s="137" t="s">
        <v>122</v>
      </c>
      <c r="C384" s="105" t="s">
        <v>2</v>
      </c>
      <c r="D384" s="29"/>
      <c r="E384" s="16" t="s">
        <v>27</v>
      </c>
      <c r="F384" s="15"/>
      <c r="G384" s="15"/>
      <c r="H384" s="15"/>
      <c r="I384" s="17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8"/>
      <c r="W384" s="18"/>
      <c r="X384" s="30"/>
      <c r="Y384" s="30"/>
      <c r="Z384" s="30"/>
      <c r="AA384" s="30"/>
      <c r="AB384" s="34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</row>
    <row r="385" spans="1:41" s="39" customFormat="1" ht="25.5" customHeight="1">
      <c r="A385" s="32">
        <v>5</v>
      </c>
      <c r="B385" s="146"/>
      <c r="C385" s="106" t="str">
        <f>IF(A385="","VARA",VLOOKUP(A385,'[1]varas'!$A$4:$B$67,2))</f>
        <v>5ª VT Recife</v>
      </c>
      <c r="D385" s="15"/>
      <c r="E385" s="16"/>
      <c r="F385" s="15">
        <v>3</v>
      </c>
      <c r="G385" s="15">
        <v>0</v>
      </c>
      <c r="H385" s="15">
        <v>0</v>
      </c>
      <c r="I385" s="17">
        <f>SUM(F385:H385)</f>
        <v>3</v>
      </c>
      <c r="J385" s="15">
        <v>0</v>
      </c>
      <c r="K385" s="15">
        <v>1</v>
      </c>
      <c r="L385" s="15">
        <v>0</v>
      </c>
      <c r="M385" s="15">
        <v>0</v>
      </c>
      <c r="N385" s="15">
        <v>0</v>
      </c>
      <c r="O385" s="15">
        <v>2</v>
      </c>
      <c r="P385" s="15">
        <f>SUM(J385:O385)</f>
        <v>3</v>
      </c>
      <c r="Q385" s="15">
        <v>0</v>
      </c>
      <c r="R385" s="15">
        <v>0</v>
      </c>
      <c r="S385" s="15">
        <v>0</v>
      </c>
      <c r="T385" s="15">
        <v>0</v>
      </c>
      <c r="U385" s="15">
        <v>7</v>
      </c>
      <c r="V385" s="18"/>
      <c r="W385" s="18"/>
      <c r="X385" s="30"/>
      <c r="Y385" s="30"/>
      <c r="Z385" s="30"/>
      <c r="AA385" s="30"/>
      <c r="AB385" s="34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</row>
    <row r="386" spans="1:41" s="39" customFormat="1" ht="25.5" customHeight="1">
      <c r="A386" s="32">
        <v>9</v>
      </c>
      <c r="B386" s="146"/>
      <c r="C386" s="106" t="str">
        <f>IF(A386="","VARA",VLOOKUP(A386,'[1]varas'!$A$4:$B$67,2))</f>
        <v>9ª VT Recife</v>
      </c>
      <c r="D386" s="15"/>
      <c r="E386" s="16"/>
      <c r="F386" s="15">
        <v>1</v>
      </c>
      <c r="G386" s="15">
        <v>0</v>
      </c>
      <c r="H386" s="15">
        <v>0</v>
      </c>
      <c r="I386" s="17">
        <f>SUM(F386:H386)</f>
        <v>1</v>
      </c>
      <c r="J386" s="15">
        <v>1</v>
      </c>
      <c r="K386" s="15">
        <v>0</v>
      </c>
      <c r="L386" s="15">
        <v>0</v>
      </c>
      <c r="M386" s="15">
        <v>0</v>
      </c>
      <c r="N386" s="15">
        <v>0</v>
      </c>
      <c r="O386" s="15">
        <v>0</v>
      </c>
      <c r="P386" s="15">
        <f>SUM(J386:O386)</f>
        <v>1</v>
      </c>
      <c r="Q386" s="15">
        <v>0</v>
      </c>
      <c r="R386" s="15">
        <v>0</v>
      </c>
      <c r="S386" s="15">
        <v>0</v>
      </c>
      <c r="T386" s="15">
        <v>0</v>
      </c>
      <c r="U386" s="15">
        <v>1</v>
      </c>
      <c r="V386" s="18"/>
      <c r="W386" s="18"/>
      <c r="X386" s="30"/>
      <c r="Y386" s="30"/>
      <c r="Z386" s="30"/>
      <c r="AA386" s="30"/>
      <c r="AB386" s="34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</row>
    <row r="387" spans="1:41" s="39" customFormat="1" ht="23.25" customHeight="1">
      <c r="A387" s="32">
        <v>10</v>
      </c>
      <c r="B387" s="146"/>
      <c r="C387" s="106" t="str">
        <f>IF(A387="","VARA",VLOOKUP(A387,'[1]varas'!$A$4:$B$67,2))</f>
        <v>10ª VT Recife</v>
      </c>
      <c r="D387" s="15"/>
      <c r="E387" s="16"/>
      <c r="F387" s="15">
        <f>42+37+31+9</f>
        <v>119</v>
      </c>
      <c r="G387" s="15">
        <v>0</v>
      </c>
      <c r="H387" s="15">
        <v>6</v>
      </c>
      <c r="I387" s="17">
        <f>SUM(F387:H387)</f>
        <v>125</v>
      </c>
      <c r="J387" s="15">
        <v>33</v>
      </c>
      <c r="K387" s="15">
        <v>9</v>
      </c>
      <c r="L387" s="15">
        <v>31</v>
      </c>
      <c r="M387" s="15">
        <v>9</v>
      </c>
      <c r="N387" s="15">
        <v>0</v>
      </c>
      <c r="O387" s="15">
        <v>37</v>
      </c>
      <c r="P387" s="15">
        <f>SUM(J387:O387)</f>
        <v>119</v>
      </c>
      <c r="Q387" s="15">
        <v>0</v>
      </c>
      <c r="R387" s="15">
        <v>6</v>
      </c>
      <c r="S387" s="15">
        <v>0</v>
      </c>
      <c r="T387" s="15">
        <v>0</v>
      </c>
      <c r="U387" s="15">
        <v>171</v>
      </c>
      <c r="V387" s="18"/>
      <c r="W387" s="18"/>
      <c r="X387" s="30"/>
      <c r="Y387" s="30"/>
      <c r="Z387" s="30"/>
      <c r="AA387" s="30"/>
      <c r="AB387" s="34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</row>
    <row r="388" spans="1:41" s="39" customFormat="1" ht="21" customHeight="1">
      <c r="A388" s="32"/>
      <c r="B388" s="133"/>
      <c r="C388" s="107" t="s">
        <v>12</v>
      </c>
      <c r="D388" s="33"/>
      <c r="E388" s="23"/>
      <c r="F388" s="24">
        <f>SUM(F384:F387)</f>
        <v>123</v>
      </c>
      <c r="G388" s="24">
        <f>SUM(G384:G387)</f>
        <v>0</v>
      </c>
      <c r="H388" s="24">
        <f>SUM(H384:H387)</f>
        <v>6</v>
      </c>
      <c r="I388" s="40">
        <f>SUM(F388:H388)</f>
        <v>129</v>
      </c>
      <c r="J388" s="24">
        <f aca="true" t="shared" si="114" ref="J388:O388">SUM(J384:J387)</f>
        <v>34</v>
      </c>
      <c r="K388" s="24">
        <f t="shared" si="114"/>
        <v>10</v>
      </c>
      <c r="L388" s="24">
        <f t="shared" si="114"/>
        <v>31</v>
      </c>
      <c r="M388" s="24">
        <f t="shared" si="114"/>
        <v>9</v>
      </c>
      <c r="N388" s="24">
        <f t="shared" si="114"/>
        <v>0</v>
      </c>
      <c r="O388" s="24">
        <f t="shared" si="114"/>
        <v>39</v>
      </c>
      <c r="P388" s="24">
        <f>SUM(J388:O388)</f>
        <v>123</v>
      </c>
      <c r="Q388" s="24">
        <f>SUM(Q384:Q387)</f>
        <v>0</v>
      </c>
      <c r="R388" s="24">
        <f>SUM(R384:R387)</f>
        <v>6</v>
      </c>
      <c r="S388" s="24">
        <f>SUM(S384:S387)</f>
        <v>0</v>
      </c>
      <c r="T388" s="24">
        <f>SUM(T384:T387)</f>
        <v>0</v>
      </c>
      <c r="U388" s="24">
        <f>SUM(U384:U387)</f>
        <v>179</v>
      </c>
      <c r="V388" s="26">
        <f>IF(I388-Q388=0,"",IF(D388="",(P388+S388)/(I388-Q388),IF(AND(D388&lt;&gt;"",(P388+S388)/(I388-Q388)&gt;=50%),(P388+S388)/(I388-Q388),"")))</f>
        <v>0.9534883720930233</v>
      </c>
      <c r="W388" s="26">
        <f>IF(I388=O388,"",IF(V388="",0,(P388+Q388+S388-O388)/(I388-O388)))</f>
        <v>0.9333333333333333</v>
      </c>
      <c r="X388" s="30"/>
      <c r="Y388" s="30"/>
      <c r="Z388" s="30"/>
      <c r="AA388" s="30"/>
      <c r="AB388" s="34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</row>
    <row r="389" spans="1:41" s="39" customFormat="1" ht="27" customHeight="1">
      <c r="A389" s="32"/>
      <c r="B389" s="129" t="s">
        <v>178</v>
      </c>
      <c r="C389" s="14" t="s">
        <v>158</v>
      </c>
      <c r="D389" s="29" t="s">
        <v>246</v>
      </c>
      <c r="E389" s="16" t="s">
        <v>247</v>
      </c>
      <c r="F389" s="15"/>
      <c r="G389" s="15"/>
      <c r="H389" s="15"/>
      <c r="I389" s="17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8"/>
      <c r="W389" s="18"/>
      <c r="X389" s="30"/>
      <c r="Y389" s="30"/>
      <c r="Z389" s="30"/>
      <c r="AA389" s="30"/>
      <c r="AB389" s="34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</row>
    <row r="390" spans="1:41" s="39" customFormat="1" ht="19.5" customHeight="1">
      <c r="A390" s="32">
        <v>26</v>
      </c>
      <c r="B390" s="136"/>
      <c r="C390" s="20" t="str">
        <f>IF(A390="","VARA",VLOOKUP(A390,'[1]varas'!$A$4:$B$67,2))</f>
        <v>1ª VT Cabo</v>
      </c>
      <c r="D390" s="29"/>
      <c r="E390" s="16"/>
      <c r="F390" s="15">
        <f>19+3+9</f>
        <v>31</v>
      </c>
      <c r="G390" s="15">
        <v>6</v>
      </c>
      <c r="H390" s="15">
        <v>0</v>
      </c>
      <c r="I390" s="17">
        <f>SUM(F390:H390)</f>
        <v>37</v>
      </c>
      <c r="J390" s="15">
        <v>2</v>
      </c>
      <c r="K390" s="15">
        <v>5</v>
      </c>
      <c r="L390" s="15">
        <v>1</v>
      </c>
      <c r="M390" s="15">
        <v>4</v>
      </c>
      <c r="N390" s="15">
        <v>1</v>
      </c>
      <c r="O390" s="15">
        <v>2</v>
      </c>
      <c r="P390" s="15">
        <f>SUM(J390:O390)</f>
        <v>15</v>
      </c>
      <c r="Q390" s="15">
        <v>21</v>
      </c>
      <c r="R390" s="15">
        <v>1</v>
      </c>
      <c r="S390" s="15">
        <v>0</v>
      </c>
      <c r="T390" s="15">
        <v>0</v>
      </c>
      <c r="U390" s="15">
        <v>52</v>
      </c>
      <c r="V390" s="18"/>
      <c r="W390" s="18"/>
      <c r="X390" s="30"/>
      <c r="Y390" s="30"/>
      <c r="Z390" s="30"/>
      <c r="AA390" s="30"/>
      <c r="AB390" s="34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</row>
    <row r="391" spans="1:41" s="39" customFormat="1" ht="24" customHeight="1">
      <c r="A391" s="32">
        <v>27</v>
      </c>
      <c r="B391" s="136"/>
      <c r="C391" s="20" t="str">
        <f>IF(A391="","VARA",VLOOKUP(A391,'[1]varas'!$A$4:$B$67,2))</f>
        <v>2ª VT Cabo</v>
      </c>
      <c r="D391" s="29"/>
      <c r="E391" s="16"/>
      <c r="F391" s="15">
        <f>29+7+3+3+0</f>
        <v>42</v>
      </c>
      <c r="G391" s="15">
        <v>11</v>
      </c>
      <c r="H391" s="15">
        <v>0</v>
      </c>
      <c r="I391" s="17">
        <f>SUM(F391:H391)</f>
        <v>53</v>
      </c>
      <c r="J391" s="15">
        <v>12</v>
      </c>
      <c r="K391" s="15">
        <v>9</v>
      </c>
      <c r="L391" s="15">
        <v>3</v>
      </c>
      <c r="M391" s="15">
        <v>3</v>
      </c>
      <c r="N391" s="15">
        <v>0</v>
      </c>
      <c r="O391" s="15">
        <v>7</v>
      </c>
      <c r="P391" s="15">
        <f>SUM(J391:O391)</f>
        <v>34</v>
      </c>
      <c r="Q391" s="15">
        <v>7</v>
      </c>
      <c r="R391" s="15">
        <v>12</v>
      </c>
      <c r="S391" s="15">
        <v>0</v>
      </c>
      <c r="T391" s="15">
        <v>0</v>
      </c>
      <c r="U391" s="15">
        <v>94</v>
      </c>
      <c r="V391" s="18"/>
      <c r="W391" s="18"/>
      <c r="X391" s="30"/>
      <c r="Y391" s="30"/>
      <c r="Z391" s="30"/>
      <c r="AA391" s="30"/>
      <c r="AB391" s="34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</row>
    <row r="392" spans="1:41" s="39" customFormat="1" ht="21.75" customHeight="1">
      <c r="A392" s="32"/>
      <c r="B392" s="136"/>
      <c r="C392" s="20" t="s">
        <v>12</v>
      </c>
      <c r="D392" s="15"/>
      <c r="E392" s="48"/>
      <c r="F392" s="24">
        <f>SUM(F389:F391)</f>
        <v>73</v>
      </c>
      <c r="G392" s="24">
        <f>SUM(G389:G391)</f>
        <v>17</v>
      </c>
      <c r="H392" s="24">
        <f>SUM(H389:H391)</f>
        <v>0</v>
      </c>
      <c r="I392" s="40">
        <f>SUM(F392:H392)</f>
        <v>90</v>
      </c>
      <c r="J392" s="24">
        <f aca="true" t="shared" si="115" ref="J392:O392">SUM(J389:J391)</f>
        <v>14</v>
      </c>
      <c r="K392" s="24">
        <f t="shared" si="115"/>
        <v>14</v>
      </c>
      <c r="L392" s="24">
        <f t="shared" si="115"/>
        <v>4</v>
      </c>
      <c r="M392" s="24">
        <f t="shared" si="115"/>
        <v>7</v>
      </c>
      <c r="N392" s="24">
        <f t="shared" si="115"/>
        <v>1</v>
      </c>
      <c r="O392" s="24">
        <f t="shared" si="115"/>
        <v>9</v>
      </c>
      <c r="P392" s="24">
        <f>SUM(J392:O392)</f>
        <v>49</v>
      </c>
      <c r="Q392" s="24">
        <f>SUM(Q389:Q391)</f>
        <v>28</v>
      </c>
      <c r="R392" s="24">
        <f>SUM(R389:R391)</f>
        <v>13</v>
      </c>
      <c r="S392" s="24">
        <f>SUM(S389:S391)</f>
        <v>0</v>
      </c>
      <c r="T392" s="24">
        <f>SUM(T389:T391)</f>
        <v>0</v>
      </c>
      <c r="U392" s="24">
        <f>SUM(U389:U391)</f>
        <v>146</v>
      </c>
      <c r="V392" s="26">
        <f>IF(I392-Q392=0,"",IF(D392="",(P392+S392)/(I392-Q392),IF(AND(D392&lt;&gt;"",(P392+S392)/(I392-Q392)&gt;=50%),(P392+S392)/(I392-Q392),"")))</f>
        <v>0.7903225806451613</v>
      </c>
      <c r="W392" s="26">
        <f>IF(I392=O392,"",IF(V392="",0,(P392+Q392+S392-O392)/(I392-O392)))</f>
        <v>0.8395061728395061</v>
      </c>
      <c r="X392" s="30"/>
      <c r="Y392" s="30"/>
      <c r="Z392" s="30"/>
      <c r="AA392" s="30"/>
      <c r="AB392" s="34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</row>
    <row r="393" spans="1:41" s="39" customFormat="1" ht="24" customHeight="1">
      <c r="A393" s="32"/>
      <c r="B393" s="136" t="s">
        <v>123</v>
      </c>
      <c r="C393" s="14" t="s">
        <v>158</v>
      </c>
      <c r="D393" s="29" t="s">
        <v>160</v>
      </c>
      <c r="E393" s="16" t="s">
        <v>179</v>
      </c>
      <c r="F393" s="15"/>
      <c r="G393" s="15"/>
      <c r="H393" s="15"/>
      <c r="I393" s="17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8"/>
      <c r="W393" s="18"/>
      <c r="X393" s="30"/>
      <c r="Y393" s="30"/>
      <c r="Z393" s="30"/>
      <c r="AA393" s="30"/>
      <c r="AB393" s="34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</row>
    <row r="394" spans="1:41" s="39" customFormat="1" ht="21.75" customHeight="1">
      <c r="A394" s="32">
        <v>37</v>
      </c>
      <c r="B394" s="136"/>
      <c r="C394" s="20" t="str">
        <f>IF(A394="","VARA",VLOOKUP(A394,'[1]varas'!$A$4:$B$67,2))</f>
        <v>4ª VT Jaboatão</v>
      </c>
      <c r="D394" s="29"/>
      <c r="E394" s="16"/>
      <c r="F394" s="15">
        <v>0</v>
      </c>
      <c r="G394" s="15">
        <v>0</v>
      </c>
      <c r="H394" s="15">
        <v>0</v>
      </c>
      <c r="I394" s="17">
        <f>SUM(F394:H394)</f>
        <v>0</v>
      </c>
      <c r="J394" s="15">
        <v>0</v>
      </c>
      <c r="K394" s="15">
        <v>0</v>
      </c>
      <c r="L394" s="15">
        <v>0</v>
      </c>
      <c r="M394" s="15">
        <v>0</v>
      </c>
      <c r="N394" s="15">
        <v>0</v>
      </c>
      <c r="O394" s="15">
        <v>0</v>
      </c>
      <c r="P394" s="15">
        <f>SUM(J394:O394)</f>
        <v>0</v>
      </c>
      <c r="Q394" s="15">
        <v>0</v>
      </c>
      <c r="R394" s="15">
        <v>0</v>
      </c>
      <c r="S394" s="15">
        <v>0</v>
      </c>
      <c r="T394" s="15">
        <v>0</v>
      </c>
      <c r="U394" s="15">
        <v>0</v>
      </c>
      <c r="V394" s="18"/>
      <c r="W394" s="18"/>
      <c r="X394" s="30"/>
      <c r="Y394" s="30"/>
      <c r="Z394" s="30"/>
      <c r="AA394" s="30"/>
      <c r="AB394" s="34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</row>
    <row r="395" spans="1:41" s="39" customFormat="1" ht="20.25" customHeight="1">
      <c r="A395" s="32"/>
      <c r="B395" s="130"/>
      <c r="C395" s="20" t="s">
        <v>12</v>
      </c>
      <c r="D395" s="15"/>
      <c r="E395" s="48"/>
      <c r="F395" s="24">
        <f>SUM(F393:F394)</f>
        <v>0</v>
      </c>
      <c r="G395" s="24">
        <f>SUM(G393:G394)</f>
        <v>0</v>
      </c>
      <c r="H395" s="24">
        <f>SUM(H393:H394)</f>
        <v>0</v>
      </c>
      <c r="I395" s="40">
        <f>SUM(F395:H395)</f>
        <v>0</v>
      </c>
      <c r="J395" s="24">
        <f aca="true" t="shared" si="116" ref="J395:O395">SUM(J393:J394)</f>
        <v>0</v>
      </c>
      <c r="K395" s="24">
        <f t="shared" si="116"/>
        <v>0</v>
      </c>
      <c r="L395" s="24">
        <f t="shared" si="116"/>
        <v>0</v>
      </c>
      <c r="M395" s="24">
        <f t="shared" si="116"/>
        <v>0</v>
      </c>
      <c r="N395" s="24">
        <f t="shared" si="116"/>
        <v>0</v>
      </c>
      <c r="O395" s="24">
        <f t="shared" si="116"/>
        <v>0</v>
      </c>
      <c r="P395" s="24">
        <f>SUM(J395:O395)</f>
        <v>0</v>
      </c>
      <c r="Q395" s="24">
        <f>SUM(Q393:Q394)</f>
        <v>0</v>
      </c>
      <c r="R395" s="24">
        <f>SUM(R393:R394)</f>
        <v>0</v>
      </c>
      <c r="S395" s="24">
        <f>SUM(S393:S394)</f>
        <v>0</v>
      </c>
      <c r="T395" s="24">
        <f>SUM(T393:T394)</f>
        <v>0</v>
      </c>
      <c r="U395" s="24">
        <f>SUM(U393:U394)</f>
        <v>0</v>
      </c>
      <c r="V395" s="26">
        <f>IF(I395-Q395=0,"",IF(D395="",(P395+S395)/(I395-Q395),IF(AND(D395&lt;&gt;"",(P395+S395)/(I395-Q395)&gt;=50%),(P395+S395)/(I395-Q395),"")))</f>
      </c>
      <c r="W395" s="26">
        <f>IF(I395=O395,"",IF(V395="",0,(P395+Q395+S395-O395)/(I395-O395)))</f>
      </c>
      <c r="X395" s="30"/>
      <c r="Y395" s="30"/>
      <c r="Z395" s="30"/>
      <c r="AA395" s="30"/>
      <c r="AB395" s="34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</row>
    <row r="396" spans="1:41" s="39" customFormat="1" ht="28.5" customHeight="1">
      <c r="A396" s="32"/>
      <c r="B396" s="137" t="s">
        <v>124</v>
      </c>
      <c r="C396" s="105" t="s">
        <v>2</v>
      </c>
      <c r="D396" s="29"/>
      <c r="E396" s="16" t="s">
        <v>27</v>
      </c>
      <c r="F396" s="15"/>
      <c r="G396" s="15"/>
      <c r="H396" s="15"/>
      <c r="I396" s="17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8"/>
      <c r="W396" s="18"/>
      <c r="X396" s="30"/>
      <c r="Y396" s="30"/>
      <c r="Z396" s="30"/>
      <c r="AA396" s="30"/>
      <c r="AB396" s="34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</row>
    <row r="397" spans="1:41" s="39" customFormat="1" ht="22.5" customHeight="1">
      <c r="A397" s="32">
        <v>65</v>
      </c>
      <c r="B397" s="138"/>
      <c r="C397" s="106" t="str">
        <f>IF(A397="","VARA",VLOOKUP(A397,'[1]varas'!$A$4:$B$76,2))</f>
        <v>3ª VT Ipojuca</v>
      </c>
      <c r="D397" s="15"/>
      <c r="E397" s="16"/>
      <c r="F397" s="15">
        <f>29+19+9</f>
        <v>57</v>
      </c>
      <c r="G397" s="15">
        <v>8</v>
      </c>
      <c r="H397" s="15">
        <v>3</v>
      </c>
      <c r="I397" s="17">
        <f>SUM(F397:H397)</f>
        <v>68</v>
      </c>
      <c r="J397" s="15">
        <v>27</v>
      </c>
      <c r="K397" s="15">
        <v>5</v>
      </c>
      <c r="L397" s="15">
        <v>9</v>
      </c>
      <c r="M397" s="15">
        <v>0</v>
      </c>
      <c r="N397" s="15">
        <v>0</v>
      </c>
      <c r="O397" s="15">
        <v>19</v>
      </c>
      <c r="P397" s="15">
        <f>SUM(J397:O397)</f>
        <v>60</v>
      </c>
      <c r="Q397" s="15">
        <v>8</v>
      </c>
      <c r="R397" s="15">
        <v>0</v>
      </c>
      <c r="S397" s="15">
        <v>0</v>
      </c>
      <c r="T397" s="15">
        <v>0</v>
      </c>
      <c r="U397" s="15">
        <v>173</v>
      </c>
      <c r="V397" s="18"/>
      <c r="W397" s="18"/>
      <c r="X397" s="30"/>
      <c r="Y397" s="30"/>
      <c r="Z397" s="30"/>
      <c r="AA397" s="30"/>
      <c r="AB397" s="34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</row>
    <row r="398" spans="1:41" s="39" customFormat="1" ht="23.25" customHeight="1">
      <c r="A398" s="32"/>
      <c r="B398" s="133"/>
      <c r="C398" s="107" t="s">
        <v>12</v>
      </c>
      <c r="D398" s="33"/>
      <c r="E398" s="52"/>
      <c r="F398" s="24">
        <f>SUM(F396:F397)</f>
        <v>57</v>
      </c>
      <c r="G398" s="24">
        <f>SUM(G396:G397)</f>
        <v>8</v>
      </c>
      <c r="H398" s="24">
        <f>SUM(H396:H397)</f>
        <v>3</v>
      </c>
      <c r="I398" s="25">
        <f>SUM(F398:H398)</f>
        <v>68</v>
      </c>
      <c r="J398" s="24">
        <f aca="true" t="shared" si="117" ref="J398:O398">SUM(J396:J397)</f>
        <v>27</v>
      </c>
      <c r="K398" s="24">
        <f t="shared" si="117"/>
        <v>5</v>
      </c>
      <c r="L398" s="24">
        <f t="shared" si="117"/>
        <v>9</v>
      </c>
      <c r="M398" s="24">
        <f t="shared" si="117"/>
        <v>0</v>
      </c>
      <c r="N398" s="24">
        <f t="shared" si="117"/>
        <v>0</v>
      </c>
      <c r="O398" s="24">
        <f t="shared" si="117"/>
        <v>19</v>
      </c>
      <c r="P398" s="24">
        <f>SUM(J398:O398)</f>
        <v>60</v>
      </c>
      <c r="Q398" s="24">
        <f>SUM(Q396:Q397)</f>
        <v>8</v>
      </c>
      <c r="R398" s="24">
        <f>SUM(R396:R397)</f>
        <v>0</v>
      </c>
      <c r="S398" s="24">
        <f>SUM(S396:S397)</f>
        <v>0</v>
      </c>
      <c r="T398" s="24">
        <f>SUM(T396:T397)</f>
        <v>0</v>
      </c>
      <c r="U398" s="24">
        <f>SUM(U396:U397)</f>
        <v>173</v>
      </c>
      <c r="V398" s="26">
        <f>IF(I398-Q398=0,"",IF(D398="",(P398+S398)/(I398-Q398),IF(AND(D398&lt;&gt;"",(P398+S398)/(I398-Q398)&gt;=50%),(P398+S398)/(I398-Q398),"")))</f>
        <v>1</v>
      </c>
      <c r="W398" s="26">
        <f>IF(I398=O398,"",IF(V398="",0,(P398+Q398+S398-O398)/(I398-O398)))</f>
        <v>1</v>
      </c>
      <c r="X398" s="30"/>
      <c r="Y398" s="30"/>
      <c r="Z398" s="30"/>
      <c r="AA398" s="30"/>
      <c r="AB398" s="34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</row>
    <row r="399" spans="1:41" s="39" customFormat="1" ht="21.75" customHeight="1">
      <c r="A399" s="32"/>
      <c r="B399" s="115" t="s">
        <v>189</v>
      </c>
      <c r="C399" s="109" t="s">
        <v>158</v>
      </c>
      <c r="D399" s="90"/>
      <c r="E399" s="91" t="s">
        <v>27</v>
      </c>
      <c r="F399" s="113"/>
      <c r="G399" s="113"/>
      <c r="H399" s="113"/>
      <c r="I399" s="93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101"/>
      <c r="W399" s="101"/>
      <c r="X399" s="30"/>
      <c r="Y399" s="30"/>
      <c r="Z399" s="30"/>
      <c r="AA399" s="30"/>
      <c r="AB399" s="34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</row>
    <row r="400" spans="1:41" s="39" customFormat="1" ht="23.25" customHeight="1">
      <c r="A400" s="32">
        <v>15</v>
      </c>
      <c r="B400" s="116"/>
      <c r="C400" s="110" t="str">
        <f>IF(A400="","VARA",VLOOKUP(A400,'[1]varas'!$A$4:$B$67,2))</f>
        <v>15ª VT Recife</v>
      </c>
      <c r="D400" s="103"/>
      <c r="E400" s="91"/>
      <c r="F400" s="92">
        <v>0</v>
      </c>
      <c r="G400" s="92">
        <v>2</v>
      </c>
      <c r="H400" s="92">
        <v>0</v>
      </c>
      <c r="I400" s="93">
        <f>SUM(F400:H400)</f>
        <v>2</v>
      </c>
      <c r="J400" s="92">
        <v>2</v>
      </c>
      <c r="K400" s="92">
        <v>0</v>
      </c>
      <c r="L400" s="92">
        <v>0</v>
      </c>
      <c r="M400" s="92">
        <v>0</v>
      </c>
      <c r="N400" s="92">
        <v>0</v>
      </c>
      <c r="O400" s="92">
        <v>0</v>
      </c>
      <c r="P400" s="92">
        <f>SUM(J400:O400)</f>
        <v>2</v>
      </c>
      <c r="Q400" s="92">
        <v>0</v>
      </c>
      <c r="R400" s="92">
        <v>0</v>
      </c>
      <c r="S400" s="92">
        <v>0</v>
      </c>
      <c r="T400" s="92">
        <v>0</v>
      </c>
      <c r="U400" s="92">
        <v>0</v>
      </c>
      <c r="V400" s="101"/>
      <c r="W400" s="101"/>
      <c r="X400" s="30"/>
      <c r="Y400" s="30"/>
      <c r="Z400" s="30"/>
      <c r="AA400" s="30"/>
      <c r="AB400" s="34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</row>
    <row r="401" spans="1:41" s="39" customFormat="1" ht="18.75" customHeight="1">
      <c r="A401" s="32">
        <v>17</v>
      </c>
      <c r="B401" s="116"/>
      <c r="C401" s="110" t="str">
        <f>IF(A401="","VARA",VLOOKUP(A401,'[1]varas'!$A$4:$B$67,2))</f>
        <v>17ª VT Recife</v>
      </c>
      <c r="D401" s="103"/>
      <c r="E401" s="91"/>
      <c r="F401" s="92">
        <f>61+54+20+9</f>
        <v>144</v>
      </c>
      <c r="G401" s="92">
        <v>3</v>
      </c>
      <c r="H401" s="92">
        <v>0</v>
      </c>
      <c r="I401" s="93">
        <f>SUM(F401:H401)</f>
        <v>147</v>
      </c>
      <c r="J401" s="92">
        <v>42</v>
      </c>
      <c r="K401" s="92">
        <v>8</v>
      </c>
      <c r="L401" s="92">
        <v>20</v>
      </c>
      <c r="M401" s="92">
        <v>9</v>
      </c>
      <c r="N401" s="92">
        <v>0</v>
      </c>
      <c r="O401" s="92">
        <v>54</v>
      </c>
      <c r="P401" s="92">
        <f>SUM(J401:O401)</f>
        <v>133</v>
      </c>
      <c r="Q401" s="92">
        <v>14</v>
      </c>
      <c r="R401" s="92">
        <v>0</v>
      </c>
      <c r="S401" s="92">
        <v>0</v>
      </c>
      <c r="T401" s="92">
        <v>0</v>
      </c>
      <c r="U401" s="92">
        <v>203</v>
      </c>
      <c r="V401" s="101"/>
      <c r="W401" s="101"/>
      <c r="X401" s="30"/>
      <c r="Y401" s="30"/>
      <c r="Z401" s="30"/>
      <c r="AA401" s="30"/>
      <c r="AB401" s="34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</row>
    <row r="402" spans="1:41" s="39" customFormat="1" ht="18.75" customHeight="1">
      <c r="A402" s="32">
        <v>41</v>
      </c>
      <c r="B402" s="116"/>
      <c r="C402" s="110" t="str">
        <f>IF(A402="","VARA",VLOOKUP(A402,'[1]varas'!$A$4:$B$67,2))</f>
        <v>1ª VT Paulista</v>
      </c>
      <c r="D402" s="103"/>
      <c r="E402" s="91"/>
      <c r="F402" s="92">
        <v>2</v>
      </c>
      <c r="G402" s="92">
        <v>0</v>
      </c>
      <c r="H402" s="92">
        <v>0</v>
      </c>
      <c r="I402" s="93">
        <f>SUM(F402:H402)</f>
        <v>2</v>
      </c>
      <c r="J402" s="92">
        <v>0</v>
      </c>
      <c r="K402" s="92">
        <v>0</v>
      </c>
      <c r="L402" s="92">
        <v>2</v>
      </c>
      <c r="M402" s="92">
        <v>0</v>
      </c>
      <c r="N402" s="92">
        <v>0</v>
      </c>
      <c r="O402" s="92">
        <v>0</v>
      </c>
      <c r="P402" s="92">
        <f>SUM(J402:O402)</f>
        <v>2</v>
      </c>
      <c r="Q402" s="92">
        <v>0</v>
      </c>
      <c r="R402" s="92">
        <v>0</v>
      </c>
      <c r="S402" s="92">
        <v>0</v>
      </c>
      <c r="T402" s="92">
        <v>0</v>
      </c>
      <c r="U402" s="92">
        <v>0</v>
      </c>
      <c r="V402" s="101"/>
      <c r="W402" s="101"/>
      <c r="X402" s="30"/>
      <c r="Y402" s="30"/>
      <c r="Z402" s="30"/>
      <c r="AA402" s="30"/>
      <c r="AB402" s="34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</row>
    <row r="403" spans="1:41" s="39" customFormat="1" ht="22.5" customHeight="1">
      <c r="A403" s="32"/>
      <c r="B403" s="117"/>
      <c r="C403" s="114" t="s">
        <v>12</v>
      </c>
      <c r="D403" s="97"/>
      <c r="E403" s="98"/>
      <c r="F403" s="99">
        <f>SUM(F399:F402)</f>
        <v>146</v>
      </c>
      <c r="G403" s="99">
        <f>SUM(G399:G402)</f>
        <v>5</v>
      </c>
      <c r="H403" s="99">
        <f>SUM(H399:H402)</f>
        <v>0</v>
      </c>
      <c r="I403" s="100">
        <f>SUM(F403:H403)</f>
        <v>151</v>
      </c>
      <c r="J403" s="99">
        <f aca="true" t="shared" si="118" ref="J403:O403">SUM(J399:J402)</f>
        <v>44</v>
      </c>
      <c r="K403" s="99">
        <f t="shared" si="118"/>
        <v>8</v>
      </c>
      <c r="L403" s="99">
        <f t="shared" si="118"/>
        <v>22</v>
      </c>
      <c r="M403" s="99">
        <f t="shared" si="118"/>
        <v>9</v>
      </c>
      <c r="N403" s="99">
        <f t="shared" si="118"/>
        <v>0</v>
      </c>
      <c r="O403" s="99">
        <f t="shared" si="118"/>
        <v>54</v>
      </c>
      <c r="P403" s="99">
        <f>SUM(J403:O403)</f>
        <v>137</v>
      </c>
      <c r="Q403" s="99">
        <f>SUM(Q399:Q402)</f>
        <v>14</v>
      </c>
      <c r="R403" s="99">
        <f>SUM(R399:R402)</f>
        <v>0</v>
      </c>
      <c r="S403" s="99">
        <f>SUM(S399:S402)</f>
        <v>0</v>
      </c>
      <c r="T403" s="99">
        <f>SUM(T399:T402)</f>
        <v>0</v>
      </c>
      <c r="U403" s="99">
        <f>SUM(U399:U402)</f>
        <v>203</v>
      </c>
      <c r="V403" s="101">
        <f>IF(I403-Q403=0,"",IF(D403="",(P403+S403)/(I403-Q403),IF(AND(D403&lt;&gt;"",(P403+S403)/(I403-Q403)&gt;=50%),(P403+S403)/(I403-Q403),"")))</f>
        <v>1</v>
      </c>
      <c r="W403" s="101">
        <f>IF(I403=O403,"",IF(V403="",0,(P403+Q403+S403-O403)/(I403-O403)))</f>
        <v>1</v>
      </c>
      <c r="X403" s="30"/>
      <c r="Y403" s="30"/>
      <c r="Z403" s="30"/>
      <c r="AA403" s="30"/>
      <c r="AB403" s="34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</row>
    <row r="404" spans="1:41" s="39" customFormat="1" ht="23.25" customHeight="1">
      <c r="A404" s="32"/>
      <c r="B404" s="129" t="s">
        <v>125</v>
      </c>
      <c r="C404" s="14" t="s">
        <v>2</v>
      </c>
      <c r="D404" s="29"/>
      <c r="E404" s="16" t="s">
        <v>27</v>
      </c>
      <c r="F404" s="15"/>
      <c r="G404" s="15"/>
      <c r="H404" s="15"/>
      <c r="I404" s="17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8"/>
      <c r="W404" s="18"/>
      <c r="X404" s="30"/>
      <c r="Y404" s="30"/>
      <c r="Z404" s="30"/>
      <c r="AA404" s="30"/>
      <c r="AB404" s="34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</row>
    <row r="405" spans="1:41" s="39" customFormat="1" ht="20.25" customHeight="1">
      <c r="A405" s="32">
        <v>4</v>
      </c>
      <c r="B405" s="136"/>
      <c r="C405" s="20" t="str">
        <f>IF(A405="","VARA",VLOOKUP(A405,'[1]varas'!$A$4:$B$102,2))</f>
        <v>4ª VT Recife</v>
      </c>
      <c r="D405" s="29"/>
      <c r="E405" s="16"/>
      <c r="F405" s="15">
        <f>64+23+17+12</f>
        <v>116</v>
      </c>
      <c r="G405" s="15">
        <v>2</v>
      </c>
      <c r="H405" s="15">
        <v>4</v>
      </c>
      <c r="I405" s="17">
        <f>SUM(F405:H405)</f>
        <v>122</v>
      </c>
      <c r="J405" s="15">
        <v>45</v>
      </c>
      <c r="K405" s="15">
        <v>7</v>
      </c>
      <c r="L405" s="15">
        <v>17</v>
      </c>
      <c r="M405" s="15">
        <v>12</v>
      </c>
      <c r="N405" s="15">
        <v>0</v>
      </c>
      <c r="O405" s="15">
        <v>23</v>
      </c>
      <c r="P405" s="15">
        <f>SUM(J405:O405)</f>
        <v>104</v>
      </c>
      <c r="Q405" s="15">
        <v>16</v>
      </c>
      <c r="R405" s="15">
        <v>2</v>
      </c>
      <c r="S405" s="15">
        <v>0</v>
      </c>
      <c r="T405" s="15">
        <v>0</v>
      </c>
      <c r="U405" s="15">
        <v>143</v>
      </c>
      <c r="V405" s="18"/>
      <c r="W405" s="18"/>
      <c r="X405" s="30"/>
      <c r="Y405" s="30"/>
      <c r="Z405" s="30"/>
      <c r="AA405" s="30"/>
      <c r="AB405" s="34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</row>
    <row r="406" spans="1:41" s="39" customFormat="1" ht="21.75" customHeight="1">
      <c r="A406" s="32"/>
      <c r="B406" s="130"/>
      <c r="C406" s="21" t="s">
        <v>12</v>
      </c>
      <c r="D406" s="33"/>
      <c r="E406" s="23"/>
      <c r="F406" s="24">
        <f>SUM(F404:F405)</f>
        <v>116</v>
      </c>
      <c r="G406" s="24">
        <f>SUM(G404:G405)</f>
        <v>2</v>
      </c>
      <c r="H406" s="24">
        <f>SUM(H404:H405)</f>
        <v>4</v>
      </c>
      <c r="I406" s="25">
        <f>SUM(F406:H406)</f>
        <v>122</v>
      </c>
      <c r="J406" s="24">
        <f aca="true" t="shared" si="119" ref="J406:O406">SUM(J404:J405)</f>
        <v>45</v>
      </c>
      <c r="K406" s="24">
        <f t="shared" si="119"/>
        <v>7</v>
      </c>
      <c r="L406" s="24">
        <f t="shared" si="119"/>
        <v>17</v>
      </c>
      <c r="M406" s="24">
        <f t="shared" si="119"/>
        <v>12</v>
      </c>
      <c r="N406" s="24">
        <f t="shared" si="119"/>
        <v>0</v>
      </c>
      <c r="O406" s="24">
        <f t="shared" si="119"/>
        <v>23</v>
      </c>
      <c r="P406" s="24">
        <f>SUM(J406:O406)</f>
        <v>104</v>
      </c>
      <c r="Q406" s="24">
        <f>SUM(Q404:Q405)</f>
        <v>16</v>
      </c>
      <c r="R406" s="24">
        <f>SUM(R404:R405)</f>
        <v>2</v>
      </c>
      <c r="S406" s="24">
        <f>SUM(S404:S405)</f>
        <v>0</v>
      </c>
      <c r="T406" s="24">
        <f>SUM(T404:T405)</f>
        <v>0</v>
      </c>
      <c r="U406" s="24">
        <f>SUM(U404:U405)</f>
        <v>143</v>
      </c>
      <c r="V406" s="26">
        <f>IF(I406-Q406=0,"",IF(D406="",(P406+S406)/(I406-Q406),IF(AND(D406&lt;&gt;"",(P406+S406)/(I406-Q406)&gt;=50%),(P406+S406)/(I406-Q406),"")))</f>
        <v>0.9811320754716981</v>
      </c>
      <c r="W406" s="26">
        <f>IF(I406=O406,"",IF(V406="",0,(P406+Q406+S406-O406)/(I406-O406)))</f>
        <v>0.9797979797979798</v>
      </c>
      <c r="X406" s="30"/>
      <c r="Y406" s="30"/>
      <c r="Z406" s="30"/>
      <c r="AA406" s="30"/>
      <c r="AB406" s="34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</row>
    <row r="407" spans="1:41" s="39" customFormat="1" ht="21.75" customHeight="1">
      <c r="A407" s="32"/>
      <c r="B407" s="137" t="s">
        <v>126</v>
      </c>
      <c r="C407" s="105" t="s">
        <v>2</v>
      </c>
      <c r="D407" s="15"/>
      <c r="E407" s="16" t="s">
        <v>27</v>
      </c>
      <c r="F407" s="15"/>
      <c r="G407" s="15"/>
      <c r="H407" s="15"/>
      <c r="I407" s="17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8"/>
      <c r="W407" s="18"/>
      <c r="X407" s="30"/>
      <c r="Y407" s="30"/>
      <c r="Z407" s="30"/>
      <c r="AA407" s="30"/>
      <c r="AB407" s="34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</row>
    <row r="408" spans="1:41" s="39" customFormat="1" ht="21" customHeight="1">
      <c r="A408" s="32">
        <v>43</v>
      </c>
      <c r="B408" s="138"/>
      <c r="C408" s="106" t="str">
        <f>IF(A408="","VARA",VLOOKUP(A408,'[1]varas'!$A$4:$B$102,2))</f>
        <v>1ª VT Petrolina</v>
      </c>
      <c r="D408" s="15"/>
      <c r="E408" s="16"/>
      <c r="F408" s="15">
        <f>62+19+17+4</f>
        <v>102</v>
      </c>
      <c r="G408" s="15">
        <v>7</v>
      </c>
      <c r="H408" s="15">
        <v>0</v>
      </c>
      <c r="I408" s="17">
        <f>SUM(F408:H408)</f>
        <v>109</v>
      </c>
      <c r="J408" s="15">
        <v>47</v>
      </c>
      <c r="K408" s="15">
        <v>13</v>
      </c>
      <c r="L408" s="15">
        <v>17</v>
      </c>
      <c r="M408" s="15">
        <v>4</v>
      </c>
      <c r="N408" s="15">
        <v>0</v>
      </c>
      <c r="O408" s="15">
        <v>19</v>
      </c>
      <c r="P408" s="15">
        <f>SUM(J408:O408)</f>
        <v>100</v>
      </c>
      <c r="Q408" s="15">
        <v>7</v>
      </c>
      <c r="R408" s="15">
        <v>0</v>
      </c>
      <c r="S408" s="15">
        <v>0</v>
      </c>
      <c r="T408" s="15">
        <v>2</v>
      </c>
      <c r="U408" s="15">
        <v>141</v>
      </c>
      <c r="V408" s="18"/>
      <c r="W408" s="18"/>
      <c r="X408" s="30"/>
      <c r="Y408" s="30"/>
      <c r="Z408" s="30"/>
      <c r="AA408" s="30"/>
      <c r="AB408" s="34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</row>
    <row r="409" spans="1:41" s="39" customFormat="1" ht="15.75" customHeight="1">
      <c r="A409" s="32"/>
      <c r="B409" s="133"/>
      <c r="C409" s="107" t="s">
        <v>12</v>
      </c>
      <c r="D409" s="33"/>
      <c r="E409" s="23"/>
      <c r="F409" s="24">
        <f>SUM(F407:F408)</f>
        <v>102</v>
      </c>
      <c r="G409" s="24">
        <f>SUM(G407:G408)</f>
        <v>7</v>
      </c>
      <c r="H409" s="24">
        <f>SUM(H407:H408)</f>
        <v>0</v>
      </c>
      <c r="I409" s="40">
        <f>SUM(F409:H409)</f>
        <v>109</v>
      </c>
      <c r="J409" s="24">
        <f aca="true" t="shared" si="120" ref="J409:O409">SUM(J407:J408)</f>
        <v>47</v>
      </c>
      <c r="K409" s="24">
        <f t="shared" si="120"/>
        <v>13</v>
      </c>
      <c r="L409" s="24">
        <f t="shared" si="120"/>
        <v>17</v>
      </c>
      <c r="M409" s="24">
        <f t="shared" si="120"/>
        <v>4</v>
      </c>
      <c r="N409" s="24">
        <f t="shared" si="120"/>
        <v>0</v>
      </c>
      <c r="O409" s="24">
        <f t="shared" si="120"/>
        <v>19</v>
      </c>
      <c r="P409" s="24">
        <f>SUM(J409:O409)</f>
        <v>100</v>
      </c>
      <c r="Q409" s="24">
        <f>SUM(Q407:Q408)</f>
        <v>7</v>
      </c>
      <c r="R409" s="24">
        <f>SUM(R407:R408)</f>
        <v>0</v>
      </c>
      <c r="S409" s="24">
        <f>SUM(S407:S408)</f>
        <v>0</v>
      </c>
      <c r="T409" s="24">
        <f>SUM(T407:T408)</f>
        <v>2</v>
      </c>
      <c r="U409" s="24">
        <f>SUM(U407:U408)</f>
        <v>141</v>
      </c>
      <c r="V409" s="26">
        <f>IF(I409-Q409=0,"",IF(D409="",(P409+S409)/(I409-Q409),IF(AND(D409&lt;&gt;"",(P409+S409)/(I409-Q409)&gt;=50%),(P409+S409)/(I409-Q409),"")))</f>
        <v>0.9803921568627451</v>
      </c>
      <c r="W409" s="26">
        <f>IF(I409=O409,"",IF(V409="",0,(P409+Q409+S409-O409)/(I409-O409)))</f>
        <v>0.9777777777777777</v>
      </c>
      <c r="X409" s="30"/>
      <c r="Y409" s="30"/>
      <c r="Z409" s="30"/>
      <c r="AA409" s="30"/>
      <c r="AB409" s="34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</row>
    <row r="410" spans="1:41" s="39" customFormat="1" ht="20.25" customHeight="1">
      <c r="A410" s="32"/>
      <c r="B410" s="137" t="s">
        <v>127</v>
      </c>
      <c r="C410" s="105" t="s">
        <v>2</v>
      </c>
      <c r="D410" s="15"/>
      <c r="E410" s="16" t="s">
        <v>27</v>
      </c>
      <c r="F410" s="15"/>
      <c r="G410" s="15"/>
      <c r="H410" s="15"/>
      <c r="I410" s="17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8"/>
      <c r="W410" s="18"/>
      <c r="X410" s="30"/>
      <c r="Y410" s="30"/>
      <c r="Z410" s="30"/>
      <c r="AA410" s="30"/>
      <c r="AB410" s="34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</row>
    <row r="411" spans="1:41" s="39" customFormat="1" ht="21" customHeight="1">
      <c r="A411" s="32">
        <v>18</v>
      </c>
      <c r="B411" s="138"/>
      <c r="C411" s="106" t="str">
        <f>IF(A411="","VARA",VLOOKUP(A411,'[1]varas'!$A$4:$B$102,2))</f>
        <v>18ª VT Recife</v>
      </c>
      <c r="D411" s="15"/>
      <c r="E411" s="16"/>
      <c r="F411" s="15">
        <f>62+40+52+21</f>
        <v>175</v>
      </c>
      <c r="G411" s="15">
        <v>0</v>
      </c>
      <c r="H411" s="15">
        <v>64</v>
      </c>
      <c r="I411" s="17">
        <f>SUM(F411:H411)</f>
        <v>239</v>
      </c>
      <c r="J411" s="15">
        <v>63</v>
      </c>
      <c r="K411" s="15">
        <v>23</v>
      </c>
      <c r="L411" s="15">
        <v>52</v>
      </c>
      <c r="M411" s="15">
        <v>21</v>
      </c>
      <c r="N411" s="15">
        <v>0</v>
      </c>
      <c r="O411" s="15">
        <v>40</v>
      </c>
      <c r="P411" s="15">
        <f>SUM(J411:O411)</f>
        <v>199</v>
      </c>
      <c r="Q411" s="15">
        <v>0</v>
      </c>
      <c r="R411" s="15">
        <v>40</v>
      </c>
      <c r="S411" s="15">
        <v>0</v>
      </c>
      <c r="T411" s="15">
        <v>0</v>
      </c>
      <c r="U411" s="15">
        <v>125</v>
      </c>
      <c r="V411" s="18"/>
      <c r="W411" s="18"/>
      <c r="X411" s="30"/>
      <c r="Y411" s="30"/>
      <c r="Z411" s="30"/>
      <c r="AA411" s="30"/>
      <c r="AB411" s="34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</row>
    <row r="412" spans="1:41" s="39" customFormat="1" ht="20.25" customHeight="1">
      <c r="A412" s="32"/>
      <c r="B412" s="133"/>
      <c r="C412" s="107" t="s">
        <v>12</v>
      </c>
      <c r="D412" s="33"/>
      <c r="E412" s="23"/>
      <c r="F412" s="24">
        <f>SUM(F410:F411)</f>
        <v>175</v>
      </c>
      <c r="G412" s="24">
        <f>SUM(G410:G411)</f>
        <v>0</v>
      </c>
      <c r="H412" s="24">
        <f>SUM(H410:H411)</f>
        <v>64</v>
      </c>
      <c r="I412" s="25">
        <f>SUM(F412:H412)</f>
        <v>239</v>
      </c>
      <c r="J412" s="24">
        <f aca="true" t="shared" si="121" ref="J412:O412">SUM(J410:J411)</f>
        <v>63</v>
      </c>
      <c r="K412" s="24">
        <f t="shared" si="121"/>
        <v>23</v>
      </c>
      <c r="L412" s="24">
        <f t="shared" si="121"/>
        <v>52</v>
      </c>
      <c r="M412" s="24">
        <f t="shared" si="121"/>
        <v>21</v>
      </c>
      <c r="N412" s="24">
        <f t="shared" si="121"/>
        <v>0</v>
      </c>
      <c r="O412" s="24">
        <f t="shared" si="121"/>
        <v>40</v>
      </c>
      <c r="P412" s="24">
        <f>SUM(J412:O412)</f>
        <v>199</v>
      </c>
      <c r="Q412" s="24">
        <f>SUM(Q410:Q411)</f>
        <v>0</v>
      </c>
      <c r="R412" s="24">
        <f>SUM(R410:R411)</f>
        <v>40</v>
      </c>
      <c r="S412" s="24">
        <f>SUM(S410:S411)</f>
        <v>0</v>
      </c>
      <c r="T412" s="24">
        <f>SUM(T410:T411)</f>
        <v>0</v>
      </c>
      <c r="U412" s="24">
        <f>SUM(U410:U411)</f>
        <v>125</v>
      </c>
      <c r="V412" s="26">
        <f>IF(I412-Q412=0,"",IF(D412="",(P412+S412)/(I412-Q412),IF(AND(D412&lt;&gt;"",(P412+S412)/(I412-Q412)&gt;=50%),(P412+S412)/(I412-Q412),"")))</f>
        <v>0.8326359832635983</v>
      </c>
      <c r="W412" s="26">
        <f>IF(I412=O412,"",IF(V412="",0,(P412+Q412+S412-O412)/(I412-O412)))</f>
        <v>0.7989949748743719</v>
      </c>
      <c r="X412" s="30"/>
      <c r="Y412" s="30"/>
      <c r="Z412" s="30"/>
      <c r="AA412" s="30"/>
      <c r="AB412" s="34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</row>
    <row r="413" spans="1:41" s="39" customFormat="1" ht="22.5" customHeight="1">
      <c r="A413" s="32"/>
      <c r="B413" s="129" t="s">
        <v>128</v>
      </c>
      <c r="C413" s="14" t="s">
        <v>2</v>
      </c>
      <c r="D413" s="29"/>
      <c r="E413" s="16" t="s">
        <v>27</v>
      </c>
      <c r="F413" s="15"/>
      <c r="G413" s="15"/>
      <c r="H413" s="15"/>
      <c r="I413" s="17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8"/>
      <c r="W413" s="18"/>
      <c r="X413" s="30"/>
      <c r="Y413" s="30"/>
      <c r="Z413" s="30"/>
      <c r="AA413" s="30"/>
      <c r="AB413" s="34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</row>
    <row r="414" spans="1:41" s="39" customFormat="1" ht="20.25" customHeight="1">
      <c r="A414" s="32">
        <v>48</v>
      </c>
      <c r="B414" s="136"/>
      <c r="C414" s="20" t="str">
        <f>IF(A414="","VARA",VLOOKUP(A414,'[1]varas'!$A$4:$B$102,2))</f>
        <v>VT Catende</v>
      </c>
      <c r="D414" s="29"/>
      <c r="E414" s="16"/>
      <c r="F414" s="15">
        <f>41+160+10+10</f>
        <v>221</v>
      </c>
      <c r="G414" s="15">
        <v>9</v>
      </c>
      <c r="H414" s="15">
        <v>0</v>
      </c>
      <c r="I414" s="17">
        <f>SUM(F414:H414)</f>
        <v>230</v>
      </c>
      <c r="J414" s="15">
        <v>26</v>
      </c>
      <c r="K414" s="15">
        <v>10</v>
      </c>
      <c r="L414" s="15">
        <v>10</v>
      </c>
      <c r="M414" s="15">
        <v>3</v>
      </c>
      <c r="N414" s="15">
        <v>7</v>
      </c>
      <c r="O414" s="15">
        <v>160</v>
      </c>
      <c r="P414" s="15">
        <f>SUM(J414:O414)</f>
        <v>216</v>
      </c>
      <c r="Q414" s="15">
        <v>14</v>
      </c>
      <c r="R414" s="15">
        <v>0</v>
      </c>
      <c r="S414" s="15">
        <v>0</v>
      </c>
      <c r="T414" s="15">
        <v>0</v>
      </c>
      <c r="U414" s="15">
        <v>296</v>
      </c>
      <c r="V414" s="18"/>
      <c r="W414" s="18"/>
      <c r="X414" s="30"/>
      <c r="Y414" s="30"/>
      <c r="Z414" s="30"/>
      <c r="AA414" s="30"/>
      <c r="AB414" s="34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</row>
    <row r="415" spans="1:41" s="39" customFormat="1" ht="25.5" customHeight="1">
      <c r="A415" s="32"/>
      <c r="B415" s="136"/>
      <c r="C415" s="21" t="s">
        <v>12</v>
      </c>
      <c r="D415" s="33"/>
      <c r="E415" s="23"/>
      <c r="F415" s="24">
        <f>SUM(F413:F414)</f>
        <v>221</v>
      </c>
      <c r="G415" s="24">
        <f>SUM(G413:G414)</f>
        <v>9</v>
      </c>
      <c r="H415" s="24">
        <f>SUM(H413:H414)</f>
        <v>0</v>
      </c>
      <c r="I415" s="40">
        <f>SUM(F415:H415)</f>
        <v>230</v>
      </c>
      <c r="J415" s="24">
        <f aca="true" t="shared" si="122" ref="J415:O415">SUM(J413:J414)</f>
        <v>26</v>
      </c>
      <c r="K415" s="24">
        <f t="shared" si="122"/>
        <v>10</v>
      </c>
      <c r="L415" s="24">
        <f t="shared" si="122"/>
        <v>10</v>
      </c>
      <c r="M415" s="24">
        <f t="shared" si="122"/>
        <v>3</v>
      </c>
      <c r="N415" s="24">
        <f t="shared" si="122"/>
        <v>7</v>
      </c>
      <c r="O415" s="24">
        <f t="shared" si="122"/>
        <v>160</v>
      </c>
      <c r="P415" s="24">
        <f>SUM(J415:O415)</f>
        <v>216</v>
      </c>
      <c r="Q415" s="24">
        <f>SUM(Q413:Q414)</f>
        <v>14</v>
      </c>
      <c r="R415" s="24">
        <f>SUM(R413:R414)</f>
        <v>0</v>
      </c>
      <c r="S415" s="24">
        <f>SUM(S413:S414)</f>
        <v>0</v>
      </c>
      <c r="T415" s="24">
        <f>SUM(T413:T414)</f>
        <v>0</v>
      </c>
      <c r="U415" s="24">
        <f>SUM(U413:U414)</f>
        <v>296</v>
      </c>
      <c r="V415" s="26">
        <f>IF(I415-Q415=0,"",IF(D415="",(P415+S415)/(I415-Q415),IF(AND(D415&lt;&gt;"",(P415+S415)/(I415-Q415)&gt;=50%),(P415+S415)/(I415-Q415),"")))</f>
        <v>1</v>
      </c>
      <c r="W415" s="26">
        <f>IF(I415=O415,"",IF(V415="",0,(P415+Q415+S415-O415)/(I415-O415)))</f>
        <v>1</v>
      </c>
      <c r="X415" s="30"/>
      <c r="Y415" s="30"/>
      <c r="Z415" s="30"/>
      <c r="AA415" s="30"/>
      <c r="AB415" s="34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</row>
    <row r="416" spans="1:41" s="39" customFormat="1" ht="23.25" customHeight="1">
      <c r="A416" s="32"/>
      <c r="B416" s="129" t="s">
        <v>174</v>
      </c>
      <c r="C416" s="20" t="s">
        <v>158</v>
      </c>
      <c r="D416" s="15" t="s">
        <v>30</v>
      </c>
      <c r="E416" s="16" t="s">
        <v>241</v>
      </c>
      <c r="F416" s="15"/>
      <c r="G416" s="15"/>
      <c r="H416" s="15"/>
      <c r="I416" s="17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8"/>
      <c r="W416" s="18"/>
      <c r="X416" s="30"/>
      <c r="Y416" s="30"/>
      <c r="Z416" s="30"/>
      <c r="AA416" s="30"/>
      <c r="AB416" s="34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</row>
    <row r="417" spans="1:41" s="39" customFormat="1" ht="18.75" customHeight="1">
      <c r="A417" s="32">
        <v>6</v>
      </c>
      <c r="B417" s="129"/>
      <c r="C417" s="20" t="str">
        <f>IF(A417="","VARA",VLOOKUP(A417,'[1]varas'!$A$4:$B$102,2))</f>
        <v>6ª VT Recife</v>
      </c>
      <c r="D417" s="15"/>
      <c r="E417" s="16"/>
      <c r="F417" s="15">
        <v>1</v>
      </c>
      <c r="G417" s="15">
        <v>9</v>
      </c>
      <c r="H417" s="15">
        <v>29</v>
      </c>
      <c r="I417" s="17">
        <f>SUM(F417:H417)</f>
        <v>39</v>
      </c>
      <c r="J417" s="15">
        <v>15</v>
      </c>
      <c r="K417" s="15">
        <v>1</v>
      </c>
      <c r="L417" s="15">
        <v>0</v>
      </c>
      <c r="M417" s="15">
        <v>0</v>
      </c>
      <c r="N417" s="15">
        <v>0</v>
      </c>
      <c r="O417" s="15">
        <v>0</v>
      </c>
      <c r="P417" s="15">
        <f>SUM(J417:O417)</f>
        <v>16</v>
      </c>
      <c r="Q417" s="15">
        <v>9</v>
      </c>
      <c r="R417" s="15">
        <v>14</v>
      </c>
      <c r="S417" s="15">
        <v>0</v>
      </c>
      <c r="T417" s="15">
        <v>0</v>
      </c>
      <c r="U417" s="15">
        <v>0</v>
      </c>
      <c r="V417" s="18"/>
      <c r="W417" s="18"/>
      <c r="X417" s="30"/>
      <c r="Y417" s="30"/>
      <c r="Z417" s="30"/>
      <c r="AA417" s="30"/>
      <c r="AB417" s="34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</row>
    <row r="418" spans="1:41" s="39" customFormat="1" ht="22.5" customHeight="1">
      <c r="A418" s="32"/>
      <c r="B418" s="130"/>
      <c r="C418" s="21" t="s">
        <v>12</v>
      </c>
      <c r="D418" s="33"/>
      <c r="E418" s="23"/>
      <c r="F418" s="24">
        <f>SUM(F416:F417)</f>
        <v>1</v>
      </c>
      <c r="G418" s="24">
        <f>SUM(G416:G417)</f>
        <v>9</v>
      </c>
      <c r="H418" s="24">
        <f>SUM(H416:H417)</f>
        <v>29</v>
      </c>
      <c r="I418" s="40">
        <f>SUM(F418:H418)</f>
        <v>39</v>
      </c>
      <c r="J418" s="24">
        <f aca="true" t="shared" si="123" ref="J418:O418">SUM(J416:J417)</f>
        <v>15</v>
      </c>
      <c r="K418" s="24">
        <f t="shared" si="123"/>
        <v>1</v>
      </c>
      <c r="L418" s="24">
        <f t="shared" si="123"/>
        <v>0</v>
      </c>
      <c r="M418" s="24">
        <f t="shared" si="123"/>
        <v>0</v>
      </c>
      <c r="N418" s="24">
        <f t="shared" si="123"/>
        <v>0</v>
      </c>
      <c r="O418" s="24">
        <f t="shared" si="123"/>
        <v>0</v>
      </c>
      <c r="P418" s="24">
        <f>SUM(J418:O418)</f>
        <v>16</v>
      </c>
      <c r="Q418" s="24">
        <f>SUM(Q416:Q417)</f>
        <v>9</v>
      </c>
      <c r="R418" s="24">
        <f>SUM(R416:R417)</f>
        <v>14</v>
      </c>
      <c r="S418" s="24">
        <f>SUM(S416:S417)</f>
        <v>0</v>
      </c>
      <c r="T418" s="24">
        <f>SUM(T416:T417)</f>
        <v>0</v>
      </c>
      <c r="U418" s="24">
        <f>SUM(U416:U417)</f>
        <v>0</v>
      </c>
      <c r="V418" s="26">
        <f>IF(I418-Q418=0,"",IF(D418="",(P418+S418)/(I418-Q418),IF(AND(D418&lt;&gt;"",(P418+S418)/(I418-Q418)&gt;=50%),(P418+S418)/(I418-Q418),"")))</f>
        <v>0.5333333333333333</v>
      </c>
      <c r="W418" s="26">
        <f>IF(I418=O418,"",IF(V418="",0,(P418+Q418+S418-O418)/(I418-O418)))</f>
        <v>0.6410256410256411</v>
      </c>
      <c r="X418" s="30"/>
      <c r="Y418" s="30"/>
      <c r="Z418" s="30"/>
      <c r="AA418" s="30"/>
      <c r="AB418" s="34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</row>
    <row r="419" spans="1:41" s="39" customFormat="1" ht="25.5" customHeight="1">
      <c r="A419" s="32"/>
      <c r="B419" s="137" t="s">
        <v>129</v>
      </c>
      <c r="C419" s="105" t="s">
        <v>155</v>
      </c>
      <c r="D419" s="29" t="s">
        <v>30</v>
      </c>
      <c r="E419" s="16" t="s">
        <v>218</v>
      </c>
      <c r="F419" s="15"/>
      <c r="G419" s="15"/>
      <c r="H419" s="15"/>
      <c r="I419" s="17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8"/>
      <c r="W419" s="18"/>
      <c r="X419" s="30"/>
      <c r="Y419" s="30"/>
      <c r="Z419" s="30"/>
      <c r="AA419" s="30"/>
      <c r="AB419" s="34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</row>
    <row r="420" spans="1:41" s="39" customFormat="1" ht="18.75" customHeight="1">
      <c r="A420" s="32">
        <v>11</v>
      </c>
      <c r="B420" s="138"/>
      <c r="C420" s="106" t="str">
        <f>IF(A420="","VARA",VLOOKUP(A420,'[1]varas'!$A$4:$B$102,2))</f>
        <v>11ª VT Recife</v>
      </c>
      <c r="D420" s="15"/>
      <c r="E420" s="16"/>
      <c r="F420" s="15">
        <f>53+29+16+9+2</f>
        <v>109</v>
      </c>
      <c r="G420" s="15">
        <v>19</v>
      </c>
      <c r="H420" s="15">
        <v>2</v>
      </c>
      <c r="I420" s="17">
        <f>SUM(F420:H420)</f>
        <v>130</v>
      </c>
      <c r="J420" s="15">
        <v>29</v>
      </c>
      <c r="K420" s="15">
        <v>21</v>
      </c>
      <c r="L420" s="15">
        <v>16</v>
      </c>
      <c r="M420" s="15">
        <v>4</v>
      </c>
      <c r="N420" s="15">
        <v>2</v>
      </c>
      <c r="O420" s="15">
        <v>29</v>
      </c>
      <c r="P420" s="15">
        <f>SUM(J420:O420)</f>
        <v>101</v>
      </c>
      <c r="Q420" s="15">
        <v>17</v>
      </c>
      <c r="R420" s="15">
        <v>12</v>
      </c>
      <c r="S420" s="15">
        <v>0</v>
      </c>
      <c r="T420" s="15">
        <v>0</v>
      </c>
      <c r="U420" s="15">
        <v>115</v>
      </c>
      <c r="V420" s="18"/>
      <c r="W420" s="18"/>
      <c r="X420" s="30"/>
      <c r="Y420" s="30"/>
      <c r="Z420" s="30"/>
      <c r="AA420" s="30"/>
      <c r="AB420" s="34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</row>
    <row r="421" spans="1:41" s="39" customFormat="1" ht="23.25" customHeight="1">
      <c r="A421" s="32"/>
      <c r="B421" s="133"/>
      <c r="C421" s="107" t="s">
        <v>12</v>
      </c>
      <c r="D421" s="33"/>
      <c r="E421" s="23"/>
      <c r="F421" s="24">
        <f>SUM(F419:F420)</f>
        <v>109</v>
      </c>
      <c r="G421" s="24">
        <f>SUM(G419:G420)</f>
        <v>19</v>
      </c>
      <c r="H421" s="24">
        <f>SUM(H419:H420)</f>
        <v>2</v>
      </c>
      <c r="I421" s="25">
        <f>SUM(F421:H421)</f>
        <v>130</v>
      </c>
      <c r="J421" s="24">
        <f aca="true" t="shared" si="124" ref="J421:O421">SUM(J419:J420)</f>
        <v>29</v>
      </c>
      <c r="K421" s="24">
        <f t="shared" si="124"/>
        <v>21</v>
      </c>
      <c r="L421" s="24">
        <f t="shared" si="124"/>
        <v>16</v>
      </c>
      <c r="M421" s="24">
        <f t="shared" si="124"/>
        <v>4</v>
      </c>
      <c r="N421" s="24">
        <f t="shared" si="124"/>
        <v>2</v>
      </c>
      <c r="O421" s="24">
        <f t="shared" si="124"/>
        <v>29</v>
      </c>
      <c r="P421" s="24">
        <f>SUM(J421:O421)</f>
        <v>101</v>
      </c>
      <c r="Q421" s="24">
        <f>SUM(Q419:Q420)</f>
        <v>17</v>
      </c>
      <c r="R421" s="24">
        <f>SUM(R419:R420)</f>
        <v>12</v>
      </c>
      <c r="S421" s="24">
        <f>SUM(S419:S420)</f>
        <v>0</v>
      </c>
      <c r="T421" s="24">
        <f>SUM(T419:T420)</f>
        <v>0</v>
      </c>
      <c r="U421" s="24">
        <f>SUM(U419:U420)</f>
        <v>115</v>
      </c>
      <c r="V421" s="26">
        <f>IF(I421-Q421=0,"",IF(D421="",(P421+S421)/(I421-Q421),IF(AND(D421&lt;&gt;"",(P421+S421)/(I421-Q421)&gt;=50%),(P421+S421)/(I421-Q421),"")))</f>
        <v>0.8938053097345132</v>
      </c>
      <c r="W421" s="26">
        <f>IF(I421=O421,"",IF(V421="",0,(P421+Q421+S421-O421)/(I421-O421)))</f>
        <v>0.8811881188118812</v>
      </c>
      <c r="X421" s="30"/>
      <c r="Y421" s="30"/>
      <c r="Z421" s="30"/>
      <c r="AA421" s="30"/>
      <c r="AB421" s="34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</row>
    <row r="422" spans="1:41" s="39" customFormat="1" ht="23.25" customHeight="1">
      <c r="A422" s="32"/>
      <c r="B422" s="137" t="s">
        <v>130</v>
      </c>
      <c r="C422" s="105" t="s">
        <v>2</v>
      </c>
      <c r="D422" s="29" t="s">
        <v>160</v>
      </c>
      <c r="E422" s="16" t="s">
        <v>179</v>
      </c>
      <c r="F422" s="15"/>
      <c r="G422" s="15"/>
      <c r="H422" s="15"/>
      <c r="I422" s="17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8"/>
      <c r="W422" s="18"/>
      <c r="X422" s="30"/>
      <c r="Y422" s="30"/>
      <c r="Z422" s="30"/>
      <c r="AA422" s="30"/>
      <c r="AB422" s="34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</row>
    <row r="423" spans="1:41" s="39" customFormat="1" ht="18" customHeight="1">
      <c r="A423" s="32">
        <v>51</v>
      </c>
      <c r="B423" s="138"/>
      <c r="C423" s="106" t="str">
        <f>IF(A423="","VARA",VLOOKUP(A423,'[1]varas'!$A$4:$B$102,2))</f>
        <v>VT Goiana</v>
      </c>
      <c r="D423" s="15"/>
      <c r="E423" s="16"/>
      <c r="F423" s="15">
        <v>0</v>
      </c>
      <c r="G423" s="15">
        <v>0</v>
      </c>
      <c r="H423" s="15">
        <v>0</v>
      </c>
      <c r="I423" s="17">
        <f>SUM(F423:H423)</f>
        <v>0</v>
      </c>
      <c r="J423" s="15">
        <v>0</v>
      </c>
      <c r="K423" s="15">
        <v>0</v>
      </c>
      <c r="L423" s="15">
        <v>0</v>
      </c>
      <c r="M423" s="15">
        <v>0</v>
      </c>
      <c r="N423" s="15">
        <v>0</v>
      </c>
      <c r="O423" s="15">
        <v>0</v>
      </c>
      <c r="P423" s="15">
        <f>SUM(J423:O423)</f>
        <v>0</v>
      </c>
      <c r="Q423" s="15">
        <v>0</v>
      </c>
      <c r="R423" s="15">
        <v>0</v>
      </c>
      <c r="S423" s="15">
        <v>0</v>
      </c>
      <c r="T423" s="15">
        <v>0</v>
      </c>
      <c r="U423" s="15">
        <v>0</v>
      </c>
      <c r="V423" s="18"/>
      <c r="W423" s="18"/>
      <c r="X423" s="30"/>
      <c r="Y423" s="30"/>
      <c r="Z423" s="30"/>
      <c r="AA423" s="30"/>
      <c r="AB423" s="34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</row>
    <row r="424" spans="1:41" s="39" customFormat="1" ht="20.25" customHeight="1">
      <c r="A424" s="32"/>
      <c r="B424" s="133"/>
      <c r="C424" s="107" t="s">
        <v>12</v>
      </c>
      <c r="D424" s="33"/>
      <c r="E424" s="23"/>
      <c r="F424" s="24">
        <f>SUM(F422:F423)</f>
        <v>0</v>
      </c>
      <c r="G424" s="24">
        <f>SUM(G422:G423)</f>
        <v>0</v>
      </c>
      <c r="H424" s="24">
        <f>SUM(H422:H423)</f>
        <v>0</v>
      </c>
      <c r="I424" s="25">
        <f>SUM(F424:H424)</f>
        <v>0</v>
      </c>
      <c r="J424" s="24">
        <f aca="true" t="shared" si="125" ref="J424:O424">SUM(J422:J423)</f>
        <v>0</v>
      </c>
      <c r="K424" s="24">
        <f t="shared" si="125"/>
        <v>0</v>
      </c>
      <c r="L424" s="24">
        <f t="shared" si="125"/>
        <v>0</v>
      </c>
      <c r="M424" s="24">
        <f t="shared" si="125"/>
        <v>0</v>
      </c>
      <c r="N424" s="24">
        <f t="shared" si="125"/>
        <v>0</v>
      </c>
      <c r="O424" s="24">
        <f t="shared" si="125"/>
        <v>0</v>
      </c>
      <c r="P424" s="24">
        <f>SUM(J424:O424)</f>
        <v>0</v>
      </c>
      <c r="Q424" s="24">
        <f>SUM(Q422:Q423)</f>
        <v>0</v>
      </c>
      <c r="R424" s="24">
        <f>SUM(R422:R423)</f>
        <v>0</v>
      </c>
      <c r="S424" s="24">
        <f>SUM(S422:S423)</f>
        <v>0</v>
      </c>
      <c r="T424" s="24">
        <f>SUM(T422:T423)</f>
        <v>0</v>
      </c>
      <c r="U424" s="24">
        <f>SUM(U422:U423)</f>
        <v>0</v>
      </c>
      <c r="V424" s="26">
        <f>IF(I424-Q424=0,"",IF(D424="",(P424+S424)/(I424-Q424),IF(AND(D424&lt;&gt;"",(P424+S424)/(I424-Q424)&gt;=50%),(P424+S424)/(I424-Q424),"")))</f>
      </c>
      <c r="W424" s="26">
        <f>IF(I424=O424,"",IF(V424="",0,(P424+Q424+S424-O424)/(I424-O424)))</f>
      </c>
      <c r="X424" s="30"/>
      <c r="Y424" s="30"/>
      <c r="Z424" s="30"/>
      <c r="AA424" s="30"/>
      <c r="AB424" s="34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</row>
    <row r="425" spans="1:41" s="39" customFormat="1" ht="18.75" customHeight="1">
      <c r="A425" s="32"/>
      <c r="B425" s="129" t="s">
        <v>131</v>
      </c>
      <c r="C425" s="14" t="s">
        <v>2</v>
      </c>
      <c r="D425" s="29" t="s">
        <v>30</v>
      </c>
      <c r="E425" s="16" t="s">
        <v>208</v>
      </c>
      <c r="F425" s="15"/>
      <c r="G425" s="15"/>
      <c r="H425" s="15"/>
      <c r="I425" s="17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8"/>
      <c r="W425" s="18"/>
      <c r="X425" s="30"/>
      <c r="Y425" s="30"/>
      <c r="Z425" s="30"/>
      <c r="AA425" s="30"/>
      <c r="AB425" s="34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</row>
    <row r="426" spans="1:41" s="39" customFormat="1" ht="18.75" customHeight="1">
      <c r="A426" s="32">
        <v>17</v>
      </c>
      <c r="B426" s="136"/>
      <c r="C426" s="20" t="str">
        <f>IF(A426="","VARA",VLOOKUP(A426,'[1]varas'!$A$4:$B$102,2))</f>
        <v>17ª VT Recife</v>
      </c>
      <c r="D426" s="29"/>
      <c r="E426" s="16"/>
      <c r="F426" s="15">
        <f>0</f>
        <v>0</v>
      </c>
      <c r="G426" s="15">
        <v>8</v>
      </c>
      <c r="H426" s="15">
        <v>0</v>
      </c>
      <c r="I426" s="17">
        <f>SUM(F426:H426)</f>
        <v>8</v>
      </c>
      <c r="J426" s="15">
        <v>4</v>
      </c>
      <c r="K426" s="15">
        <v>0</v>
      </c>
      <c r="L426" s="15">
        <v>0</v>
      </c>
      <c r="M426" s="15">
        <v>0</v>
      </c>
      <c r="N426" s="15">
        <v>0</v>
      </c>
      <c r="O426" s="15">
        <v>0</v>
      </c>
      <c r="P426" s="15">
        <f>SUM(J426:O426)</f>
        <v>4</v>
      </c>
      <c r="Q426" s="15">
        <v>4</v>
      </c>
      <c r="R426" s="15">
        <v>0</v>
      </c>
      <c r="S426" s="15">
        <v>0</v>
      </c>
      <c r="T426" s="15">
        <v>0</v>
      </c>
      <c r="U426" s="15">
        <v>0</v>
      </c>
      <c r="V426" s="18"/>
      <c r="W426" s="18"/>
      <c r="X426" s="30"/>
      <c r="Y426" s="30"/>
      <c r="Z426" s="30"/>
      <c r="AA426" s="30"/>
      <c r="AB426" s="34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</row>
    <row r="427" spans="1:41" s="39" customFormat="1" ht="21.75" customHeight="1">
      <c r="A427" s="32"/>
      <c r="B427" s="142"/>
      <c r="C427" s="21" t="s">
        <v>12</v>
      </c>
      <c r="D427" s="33"/>
      <c r="E427" s="23"/>
      <c r="F427" s="24">
        <f>SUM(F425:F426)</f>
        <v>0</v>
      </c>
      <c r="G427" s="24">
        <f>SUM(G425:G426)</f>
        <v>8</v>
      </c>
      <c r="H427" s="24">
        <f>SUM(H425:H426)</f>
        <v>0</v>
      </c>
      <c r="I427" s="25">
        <f>SUM(F427:H427)</f>
        <v>8</v>
      </c>
      <c r="J427" s="24">
        <f aca="true" t="shared" si="126" ref="J427:O427">SUM(J425:J426)</f>
        <v>4</v>
      </c>
      <c r="K427" s="24">
        <f t="shared" si="126"/>
        <v>0</v>
      </c>
      <c r="L427" s="24">
        <f t="shared" si="126"/>
        <v>0</v>
      </c>
      <c r="M427" s="24">
        <f t="shared" si="126"/>
        <v>0</v>
      </c>
      <c r="N427" s="24">
        <f t="shared" si="126"/>
        <v>0</v>
      </c>
      <c r="O427" s="24">
        <f t="shared" si="126"/>
        <v>0</v>
      </c>
      <c r="P427" s="24">
        <f>SUM(J427:O427)</f>
        <v>4</v>
      </c>
      <c r="Q427" s="24">
        <f>SUM(Q425:Q426)</f>
        <v>4</v>
      </c>
      <c r="R427" s="24">
        <f>SUM(R425:R426)</f>
        <v>0</v>
      </c>
      <c r="S427" s="24">
        <f>SUM(S425:S426)</f>
        <v>0</v>
      </c>
      <c r="T427" s="24">
        <f>SUM(T425:T426)</f>
        <v>0</v>
      </c>
      <c r="U427" s="24">
        <f>SUM(U425:U426)</f>
        <v>0</v>
      </c>
      <c r="V427" s="26">
        <f>IF(I427-Q427=0,"",IF(D427="",(P427+S427)/(I427-Q427),IF(AND(D427&lt;&gt;"",(P427+S427)/(I427-Q427)&gt;=50%),(P427+S427)/(I427-Q427),"")))</f>
        <v>1</v>
      </c>
      <c r="W427" s="26">
        <f>IF(I427=O427,"",IF(V427="",0,(P427+Q427+S427-O427)/(I427-O427)))</f>
        <v>1</v>
      </c>
      <c r="X427" s="30"/>
      <c r="Y427" s="30"/>
      <c r="Z427" s="30"/>
      <c r="AA427" s="30"/>
      <c r="AB427" s="34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</row>
    <row r="428" spans="1:41" s="39" customFormat="1" ht="21.75" customHeight="1">
      <c r="A428" s="32"/>
      <c r="B428" s="129" t="s">
        <v>132</v>
      </c>
      <c r="C428" s="14" t="s">
        <v>2</v>
      </c>
      <c r="D428" s="29"/>
      <c r="E428" s="16" t="s">
        <v>27</v>
      </c>
      <c r="F428" s="15"/>
      <c r="G428" s="15"/>
      <c r="H428" s="15"/>
      <c r="I428" s="17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8"/>
      <c r="W428" s="18"/>
      <c r="X428" s="30"/>
      <c r="Y428" s="30"/>
      <c r="Z428" s="30"/>
      <c r="AA428" s="30"/>
      <c r="AB428" s="34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</row>
    <row r="429" spans="1:41" s="39" customFormat="1" ht="18" customHeight="1">
      <c r="A429" s="32">
        <v>51</v>
      </c>
      <c r="B429" s="136"/>
      <c r="C429" s="20" t="str">
        <f>IF(A429="","VARA",VLOOKUP(A429,'[1]varas'!$A$4:$B$102,2))</f>
        <v>VT Goiana</v>
      </c>
      <c r="D429" s="15"/>
      <c r="E429" s="16"/>
      <c r="F429" s="15">
        <f>43+50+19+4</f>
        <v>116</v>
      </c>
      <c r="G429" s="15">
        <v>11</v>
      </c>
      <c r="H429" s="15">
        <v>0</v>
      </c>
      <c r="I429" s="17">
        <f>SUM(F429:H429)</f>
        <v>127</v>
      </c>
      <c r="J429" s="15">
        <v>36</v>
      </c>
      <c r="K429" s="15">
        <v>10</v>
      </c>
      <c r="L429" s="15">
        <v>19</v>
      </c>
      <c r="M429" s="15">
        <v>4</v>
      </c>
      <c r="N429" s="15">
        <v>0</v>
      </c>
      <c r="O429" s="15">
        <v>50</v>
      </c>
      <c r="P429" s="15">
        <f>SUM(J429:O429)</f>
        <v>119</v>
      </c>
      <c r="Q429" s="15">
        <v>8</v>
      </c>
      <c r="R429" s="15">
        <v>0</v>
      </c>
      <c r="S429" s="15">
        <v>0</v>
      </c>
      <c r="T429" s="15">
        <v>0</v>
      </c>
      <c r="U429" s="15">
        <v>180</v>
      </c>
      <c r="V429" s="18"/>
      <c r="W429" s="18"/>
      <c r="X429" s="30"/>
      <c r="Y429" s="30"/>
      <c r="Z429" s="30"/>
      <c r="AA429" s="30"/>
      <c r="AB429" s="34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</row>
    <row r="430" spans="1:41" s="39" customFormat="1" ht="18" customHeight="1">
      <c r="A430" s="32"/>
      <c r="B430" s="136"/>
      <c r="C430" s="21" t="s">
        <v>12</v>
      </c>
      <c r="D430" s="33"/>
      <c r="E430" s="23"/>
      <c r="F430" s="24">
        <f>SUM(F428:F429)</f>
        <v>116</v>
      </c>
      <c r="G430" s="24">
        <f>SUM(G428:G429)</f>
        <v>11</v>
      </c>
      <c r="H430" s="24">
        <f>SUM(H428:H429)</f>
        <v>0</v>
      </c>
      <c r="I430" s="40">
        <f>SUM(F430:H430)</f>
        <v>127</v>
      </c>
      <c r="J430" s="24">
        <f aca="true" t="shared" si="127" ref="J430:O430">SUM(J428:J429)</f>
        <v>36</v>
      </c>
      <c r="K430" s="24">
        <f t="shared" si="127"/>
        <v>10</v>
      </c>
      <c r="L430" s="24">
        <f t="shared" si="127"/>
        <v>19</v>
      </c>
      <c r="M430" s="24">
        <f t="shared" si="127"/>
        <v>4</v>
      </c>
      <c r="N430" s="24">
        <f t="shared" si="127"/>
        <v>0</v>
      </c>
      <c r="O430" s="24">
        <f t="shared" si="127"/>
        <v>50</v>
      </c>
      <c r="P430" s="24">
        <f>SUM(J430:O430)</f>
        <v>119</v>
      </c>
      <c r="Q430" s="24">
        <f>SUM(Q428:Q429)</f>
        <v>8</v>
      </c>
      <c r="R430" s="24">
        <f>SUM(R428:R429)</f>
        <v>0</v>
      </c>
      <c r="S430" s="24">
        <f>SUM(S428:S429)</f>
        <v>0</v>
      </c>
      <c r="T430" s="24">
        <f>SUM(T428:T429)</f>
        <v>0</v>
      </c>
      <c r="U430" s="24">
        <f>SUM(U428:U429)</f>
        <v>180</v>
      </c>
      <c r="V430" s="26">
        <f>IF(I430-Q430=0,"",IF(D430="",(P430+S430)/(I430-Q430),IF(AND(D430&lt;&gt;"",(P430+S430)/(I430-Q430)&gt;=50%),(P430+S430)/(I430-Q430),"")))</f>
        <v>1</v>
      </c>
      <c r="W430" s="26">
        <f>IF(I430=O430,"",IF(V430="",0,(P430+Q430+S430-O430)/(I430-O430)))</f>
        <v>1</v>
      </c>
      <c r="X430" s="30"/>
      <c r="Y430" s="30"/>
      <c r="Z430" s="30"/>
      <c r="AA430" s="30"/>
      <c r="AB430" s="34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</row>
    <row r="431" spans="1:41" s="39" customFormat="1" ht="13.5" customHeight="1">
      <c r="A431" s="32"/>
      <c r="B431" s="108"/>
      <c r="C431" s="81"/>
      <c r="D431" s="82"/>
      <c r="E431" s="83"/>
      <c r="F431" s="84"/>
      <c r="G431" s="84"/>
      <c r="H431" s="84"/>
      <c r="I431" s="85"/>
      <c r="J431" s="84"/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  <c r="V431" s="86"/>
      <c r="W431" s="86"/>
      <c r="X431" s="30"/>
      <c r="Y431" s="30"/>
      <c r="Z431" s="30"/>
      <c r="AA431" s="30"/>
      <c r="AB431" s="34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</row>
    <row r="432" spans="1:41" s="39" customFormat="1" ht="17.25" customHeight="1">
      <c r="A432" s="32"/>
      <c r="B432" s="104" t="s">
        <v>203</v>
      </c>
      <c r="C432" s="81"/>
      <c r="D432" s="82"/>
      <c r="E432" s="83"/>
      <c r="F432" s="84"/>
      <c r="G432" s="84"/>
      <c r="H432" s="84"/>
      <c r="I432" s="85"/>
      <c r="J432" s="84"/>
      <c r="K432" s="84"/>
      <c r="L432" s="84"/>
      <c r="M432" s="84"/>
      <c r="N432" s="84"/>
      <c r="O432" s="84"/>
      <c r="P432" s="84"/>
      <c r="Q432" s="84"/>
      <c r="R432" s="84"/>
      <c r="S432" s="84"/>
      <c r="T432" s="84"/>
      <c r="U432" s="84"/>
      <c r="V432" s="86"/>
      <c r="W432" s="86"/>
      <c r="X432" s="30"/>
      <c r="Y432" s="30"/>
      <c r="Z432" s="30"/>
      <c r="AA432" s="30"/>
      <c r="AB432" s="34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</row>
    <row r="433" spans="1:41" s="39" customFormat="1" ht="17.25" customHeight="1">
      <c r="A433" s="32"/>
      <c r="B433" s="104" t="s">
        <v>205</v>
      </c>
      <c r="C433" s="81"/>
      <c r="D433" s="82"/>
      <c r="E433" s="83"/>
      <c r="F433" s="84"/>
      <c r="G433" s="84"/>
      <c r="H433" s="84"/>
      <c r="I433" s="85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  <c r="U433" s="84"/>
      <c r="V433" s="86"/>
      <c r="W433" s="86"/>
      <c r="X433" s="30"/>
      <c r="Y433" s="30"/>
      <c r="Z433" s="30"/>
      <c r="AA433" s="30"/>
      <c r="AB433" s="34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</row>
    <row r="434" spans="1:41" s="39" customFormat="1" ht="17.25" customHeight="1">
      <c r="A434" s="32"/>
      <c r="B434" s="104" t="s">
        <v>206</v>
      </c>
      <c r="C434" s="81"/>
      <c r="D434" s="82"/>
      <c r="E434" s="83"/>
      <c r="F434" s="84"/>
      <c r="G434" s="84"/>
      <c r="H434" s="84"/>
      <c r="I434" s="85"/>
      <c r="J434" s="84"/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  <c r="V434" s="86"/>
      <c r="W434" s="86"/>
      <c r="X434" s="30"/>
      <c r="Y434" s="30"/>
      <c r="Z434" s="30"/>
      <c r="AA434" s="30"/>
      <c r="AB434" s="34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</row>
    <row r="435" spans="1:41" s="39" customFormat="1" ht="17.25" customHeight="1">
      <c r="A435" s="32"/>
      <c r="B435" s="104" t="s">
        <v>207</v>
      </c>
      <c r="C435" s="81"/>
      <c r="D435" s="82"/>
      <c r="E435" s="83"/>
      <c r="F435" s="84"/>
      <c r="G435" s="84"/>
      <c r="H435" s="84"/>
      <c r="I435" s="85"/>
      <c r="J435" s="84"/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86"/>
      <c r="W435" s="86"/>
      <c r="X435" s="30"/>
      <c r="Y435" s="30"/>
      <c r="Z435" s="30"/>
      <c r="AA435" s="30"/>
      <c r="AB435" s="34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</row>
    <row r="436" spans="1:41" s="39" customFormat="1" ht="17.25" customHeight="1">
      <c r="A436" s="32"/>
      <c r="B436" s="104" t="s">
        <v>243</v>
      </c>
      <c r="C436" s="81"/>
      <c r="D436" s="82"/>
      <c r="E436" s="83"/>
      <c r="F436" s="84"/>
      <c r="G436" s="84"/>
      <c r="H436" s="84"/>
      <c r="I436" s="85"/>
      <c r="J436" s="84"/>
      <c r="K436" s="84"/>
      <c r="L436" s="84"/>
      <c r="M436" s="84"/>
      <c r="N436" s="84"/>
      <c r="O436" s="84"/>
      <c r="P436" s="84"/>
      <c r="Q436" s="84"/>
      <c r="R436" s="84"/>
      <c r="S436" s="84"/>
      <c r="T436" s="84"/>
      <c r="U436" s="84"/>
      <c r="V436" s="86"/>
      <c r="W436" s="86"/>
      <c r="X436" s="30"/>
      <c r="Y436" s="30"/>
      <c r="Z436" s="30"/>
      <c r="AA436" s="30"/>
      <c r="AB436" s="34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</row>
    <row r="437" spans="1:41" s="39" customFormat="1" ht="17.25" customHeight="1">
      <c r="A437" s="32"/>
      <c r="B437" s="104" t="s">
        <v>244</v>
      </c>
      <c r="C437" s="81"/>
      <c r="D437" s="82"/>
      <c r="E437" s="83"/>
      <c r="F437" s="84"/>
      <c r="G437" s="84"/>
      <c r="H437" s="84"/>
      <c r="I437" s="85"/>
      <c r="J437" s="84"/>
      <c r="K437" s="84"/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86"/>
      <c r="W437" s="86"/>
      <c r="X437" s="30"/>
      <c r="Y437" s="30"/>
      <c r="Z437" s="30"/>
      <c r="AA437" s="30"/>
      <c r="AB437" s="34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</row>
    <row r="438" spans="1:41" s="39" customFormat="1" ht="17.25" customHeight="1">
      <c r="A438" s="32"/>
      <c r="B438" s="104" t="s">
        <v>248</v>
      </c>
      <c r="C438" s="81"/>
      <c r="D438" s="82"/>
      <c r="E438" s="83"/>
      <c r="F438" s="84"/>
      <c r="G438" s="84"/>
      <c r="H438" s="84"/>
      <c r="I438" s="85"/>
      <c r="J438" s="84"/>
      <c r="K438" s="84"/>
      <c r="L438" s="84"/>
      <c r="M438" s="84"/>
      <c r="N438" s="84"/>
      <c r="O438" s="84"/>
      <c r="P438" s="84"/>
      <c r="Q438" s="84"/>
      <c r="R438" s="84"/>
      <c r="S438" s="84"/>
      <c r="T438" s="84"/>
      <c r="U438" s="84"/>
      <c r="V438" s="86"/>
      <c r="W438" s="86"/>
      <c r="X438" s="30"/>
      <c r="Y438" s="30"/>
      <c r="Z438" s="30"/>
      <c r="AA438" s="30"/>
      <c r="AB438" s="34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</row>
    <row r="439" spans="1:41" s="39" customFormat="1" ht="17.25" customHeight="1">
      <c r="A439" s="32"/>
      <c r="B439" s="104" t="s">
        <v>249</v>
      </c>
      <c r="C439" s="81"/>
      <c r="D439" s="82"/>
      <c r="E439" s="83"/>
      <c r="F439" s="84"/>
      <c r="G439" s="84"/>
      <c r="H439" s="84"/>
      <c r="I439" s="85"/>
      <c r="J439" s="84"/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6"/>
      <c r="W439" s="86"/>
      <c r="X439" s="30"/>
      <c r="Y439" s="30"/>
      <c r="Z439" s="30"/>
      <c r="AA439" s="30"/>
      <c r="AB439" s="34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</row>
    <row r="440" spans="1:41" s="39" customFormat="1" ht="17.25" customHeight="1">
      <c r="A440" s="32"/>
      <c r="B440" s="104" t="s">
        <v>250</v>
      </c>
      <c r="C440" s="81"/>
      <c r="D440" s="82"/>
      <c r="E440" s="83"/>
      <c r="F440" s="84"/>
      <c r="G440" s="84"/>
      <c r="H440" s="84"/>
      <c r="I440" s="85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4"/>
      <c r="V440" s="86"/>
      <c r="W440" s="86"/>
      <c r="X440" s="30"/>
      <c r="Y440" s="30"/>
      <c r="Z440" s="30"/>
      <c r="AA440" s="30"/>
      <c r="AB440" s="34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</row>
    <row r="441" spans="1:41" s="39" customFormat="1" ht="17.25" customHeight="1">
      <c r="A441" s="32"/>
      <c r="B441" s="104"/>
      <c r="C441" s="81"/>
      <c r="D441" s="82"/>
      <c r="E441" s="83"/>
      <c r="F441" s="84"/>
      <c r="G441" s="84"/>
      <c r="H441" s="84"/>
      <c r="I441" s="85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4"/>
      <c r="V441" s="86"/>
      <c r="W441" s="86"/>
      <c r="X441" s="30"/>
      <c r="Y441" s="30"/>
      <c r="Z441" s="30"/>
      <c r="AA441" s="30"/>
      <c r="AB441" s="34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</row>
    <row r="442" spans="1:41" s="39" customFormat="1" ht="17.25" customHeight="1">
      <c r="A442" s="32"/>
      <c r="B442" s="104"/>
      <c r="C442" s="81"/>
      <c r="D442" s="82"/>
      <c r="E442" s="83"/>
      <c r="F442" s="84"/>
      <c r="G442" s="84"/>
      <c r="H442" s="84"/>
      <c r="I442" s="85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4"/>
      <c r="V442" s="86"/>
      <c r="W442" s="86"/>
      <c r="X442" s="30"/>
      <c r="Y442" s="30"/>
      <c r="Z442" s="30"/>
      <c r="AA442" s="30"/>
      <c r="AB442" s="34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</row>
    <row r="443" spans="1:41" s="39" customFormat="1" ht="14.25" customHeight="1" thickBot="1">
      <c r="A443" s="32"/>
      <c r="B443" s="112"/>
      <c r="C443" s="81"/>
      <c r="D443" s="82"/>
      <c r="E443" s="83"/>
      <c r="F443" s="84"/>
      <c r="G443" s="84"/>
      <c r="H443" s="84"/>
      <c r="I443" s="85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4"/>
      <c r="V443" s="86"/>
      <c r="W443" s="86"/>
      <c r="X443" s="30"/>
      <c r="Y443" s="30"/>
      <c r="Z443" s="30"/>
      <c r="AA443" s="30"/>
      <c r="AB443" s="34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</row>
    <row r="444" spans="2:23" ht="12" customHeight="1">
      <c r="B444" s="54" t="s">
        <v>133</v>
      </c>
      <c r="C444" s="55"/>
      <c r="D444" s="56"/>
      <c r="E444" s="57"/>
      <c r="F444" s="57" t="s">
        <v>134</v>
      </c>
      <c r="G444" s="58"/>
      <c r="H444" s="56"/>
      <c r="I444" s="56"/>
      <c r="J444" s="56"/>
      <c r="K444" s="59" t="s">
        <v>135</v>
      </c>
      <c r="L444" s="56"/>
      <c r="M444" s="56"/>
      <c r="N444" s="56"/>
      <c r="O444" s="59"/>
      <c r="P444" s="59" t="s">
        <v>136</v>
      </c>
      <c r="Q444" s="56"/>
      <c r="R444" s="56"/>
      <c r="S444" s="59"/>
      <c r="T444" s="59" t="s">
        <v>154</v>
      </c>
      <c r="U444" s="59"/>
      <c r="V444" s="59"/>
      <c r="W444" s="60"/>
    </row>
    <row r="445" spans="2:23" ht="12" customHeight="1">
      <c r="B445" s="61" t="s">
        <v>137</v>
      </c>
      <c r="F445" s="62" t="s">
        <v>138</v>
      </c>
      <c r="G445" s="2"/>
      <c r="K445" s="62" t="s">
        <v>139</v>
      </c>
      <c r="O445" s="62"/>
      <c r="P445" s="62" t="s">
        <v>140</v>
      </c>
      <c r="Q445" s="1"/>
      <c r="R445" s="1"/>
      <c r="S445" s="62"/>
      <c r="T445" s="62" t="s">
        <v>159</v>
      </c>
      <c r="U445" s="62"/>
      <c r="W445" s="63"/>
    </row>
    <row r="446" spans="1:41" s="62" customFormat="1" ht="12" customHeight="1">
      <c r="A446" s="1"/>
      <c r="B446" s="61" t="s">
        <v>141</v>
      </c>
      <c r="C446" s="3"/>
      <c r="D446" s="1"/>
      <c r="F446" s="62" t="s">
        <v>142</v>
      </c>
      <c r="G446" s="2"/>
      <c r="H446" s="1"/>
      <c r="K446" s="62" t="s">
        <v>143</v>
      </c>
      <c r="L446" s="1"/>
      <c r="M446" s="1"/>
      <c r="N446" s="1"/>
      <c r="O446" s="64"/>
      <c r="P446" s="64" t="s">
        <v>144</v>
      </c>
      <c r="Q446" s="1"/>
      <c r="T446" s="62" t="s">
        <v>164</v>
      </c>
      <c r="V446" s="1"/>
      <c r="W446" s="63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</row>
    <row r="447" spans="1:41" s="62" customFormat="1" ht="12" customHeight="1">
      <c r="A447" s="1"/>
      <c r="B447" s="65" t="s">
        <v>153</v>
      </c>
      <c r="C447" s="3"/>
      <c r="D447" s="1"/>
      <c r="F447" s="62" t="s">
        <v>145</v>
      </c>
      <c r="H447" s="1"/>
      <c r="K447" s="62" t="s">
        <v>146</v>
      </c>
      <c r="L447" s="1"/>
      <c r="M447" s="1"/>
      <c r="N447" s="1"/>
      <c r="O447" s="64"/>
      <c r="P447" s="64" t="s">
        <v>147</v>
      </c>
      <c r="Q447" s="1"/>
      <c r="S447" s="3"/>
      <c r="T447" s="3"/>
      <c r="U447" s="3"/>
      <c r="V447" s="1"/>
      <c r="W447" s="63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</row>
    <row r="448" spans="1:41" s="62" customFormat="1" ht="12.75" customHeight="1" thickBot="1">
      <c r="A448" s="1"/>
      <c r="B448" s="66" t="s">
        <v>148</v>
      </c>
      <c r="C448" s="67"/>
      <c r="D448" s="68"/>
      <c r="E448" s="69"/>
      <c r="F448" s="69" t="s">
        <v>149</v>
      </c>
      <c r="G448" s="68"/>
      <c r="H448" s="67"/>
      <c r="I448" s="69"/>
      <c r="J448" s="69"/>
      <c r="K448" s="68" t="s">
        <v>152</v>
      </c>
      <c r="L448" s="68"/>
      <c r="M448" s="68"/>
      <c r="N448" s="68"/>
      <c r="O448" s="69"/>
      <c r="P448" s="69" t="s">
        <v>150</v>
      </c>
      <c r="Q448" s="68"/>
      <c r="R448" s="68"/>
      <c r="S448" s="68"/>
      <c r="T448" s="68"/>
      <c r="U448" s="68"/>
      <c r="V448" s="68"/>
      <c r="W448" s="70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</row>
    <row r="449" spans="1:41" s="62" customFormat="1" ht="12.75" customHeight="1">
      <c r="A449" s="1"/>
      <c r="B449" s="64" t="s">
        <v>151</v>
      </c>
      <c r="C449" s="71"/>
      <c r="F449" s="72"/>
      <c r="H449" s="1"/>
      <c r="I449" s="1"/>
      <c r="K449" s="1"/>
      <c r="L449" s="1"/>
      <c r="M449" s="1"/>
      <c r="O449" s="1"/>
      <c r="P449" s="1"/>
      <c r="Q449" s="1"/>
      <c r="R449" s="1"/>
      <c r="S449" s="1"/>
      <c r="T449" s="1"/>
      <c r="U449" s="1"/>
      <c r="V449" s="1"/>
      <c r="W449" s="6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</row>
    <row r="450" spans="2:18" ht="12.75" customHeight="1">
      <c r="B450" s="73"/>
      <c r="C450" s="74" t="s">
        <v>251</v>
      </c>
      <c r="D450" s="75"/>
      <c r="E450" s="76"/>
      <c r="F450" s="72"/>
      <c r="G450" s="77"/>
      <c r="Q450" s="1"/>
      <c r="R450" s="1"/>
    </row>
    <row r="451" spans="2:18" ht="12.75" customHeight="1">
      <c r="B451" s="73"/>
      <c r="C451" s="74" t="s">
        <v>156</v>
      </c>
      <c r="D451" s="75"/>
      <c r="E451" s="76"/>
      <c r="F451" s="72"/>
      <c r="G451" s="77"/>
      <c r="Q451" s="1"/>
      <c r="R451" s="1"/>
    </row>
    <row r="452" spans="2:18" ht="12.75" customHeight="1">
      <c r="B452" s="73"/>
      <c r="C452" s="74"/>
      <c r="D452" s="75"/>
      <c r="E452" s="76"/>
      <c r="F452" s="72"/>
      <c r="G452" s="77"/>
      <c r="I452" s="147" t="s">
        <v>175</v>
      </c>
      <c r="J452" s="147"/>
      <c r="K452" s="147"/>
      <c r="L452" s="147"/>
      <c r="M452" s="147"/>
      <c r="Q452" s="1"/>
      <c r="R452" s="1"/>
    </row>
    <row r="453" spans="2:18" ht="12.75" customHeight="1" hidden="1">
      <c r="B453" s="78"/>
      <c r="C453" s="71"/>
      <c r="D453" s="79"/>
      <c r="E453" s="76"/>
      <c r="F453" s="72"/>
      <c r="G453" s="79"/>
      <c r="Q453" s="1"/>
      <c r="R453" s="1"/>
    </row>
    <row r="454" spans="2:18" ht="12.75" customHeight="1" hidden="1">
      <c r="B454" s="78"/>
      <c r="C454" s="71"/>
      <c r="D454" s="79"/>
      <c r="E454" s="76"/>
      <c r="F454" s="72"/>
      <c r="G454" s="79"/>
      <c r="Q454" s="1"/>
      <c r="R454" s="1"/>
    </row>
    <row r="455" spans="2:18" ht="12.75" customHeight="1" hidden="1">
      <c r="B455" s="78"/>
      <c r="C455" s="71"/>
      <c r="D455" s="79"/>
      <c r="E455" s="76"/>
      <c r="F455" s="72"/>
      <c r="G455" s="79"/>
      <c r="Q455" s="1"/>
      <c r="R455" s="1"/>
    </row>
    <row r="456" spans="2:18" ht="12.75" customHeight="1">
      <c r="B456" s="80"/>
      <c r="C456" s="2"/>
      <c r="D456" s="2"/>
      <c r="E456" s="2"/>
      <c r="F456" s="2"/>
      <c r="G456" s="2"/>
      <c r="I456" s="148" t="s">
        <v>165</v>
      </c>
      <c r="J456" s="149"/>
      <c r="K456" s="149"/>
      <c r="L456" s="149"/>
      <c r="M456" s="149"/>
      <c r="Q456" s="1"/>
      <c r="R456" s="1"/>
    </row>
    <row r="457" spans="9:18" ht="12.75" customHeight="1">
      <c r="I457" s="150"/>
      <c r="J457" s="150"/>
      <c r="K457" s="150"/>
      <c r="L457" s="150"/>
      <c r="M457" s="150"/>
      <c r="Q457" s="1"/>
      <c r="R457" s="1"/>
    </row>
    <row r="458" spans="17:18" ht="12.75" customHeight="1">
      <c r="Q458" s="1"/>
      <c r="R458" s="1"/>
    </row>
    <row r="459" spans="17:18" ht="12.75" customHeight="1">
      <c r="Q459" s="1"/>
      <c r="R459" s="1"/>
    </row>
    <row r="460" spans="17:18" ht="12.75" customHeight="1">
      <c r="Q460" s="1"/>
      <c r="R460" s="1"/>
    </row>
    <row r="461" spans="17:18" ht="12.75" customHeight="1">
      <c r="Q461" s="1"/>
      <c r="R461" s="1"/>
    </row>
    <row r="462" spans="17:18" ht="12.75" customHeight="1">
      <c r="Q462" s="1"/>
      <c r="R462" s="1"/>
    </row>
    <row r="463" spans="17:18" ht="12.75" customHeight="1">
      <c r="Q463" s="1"/>
      <c r="R463" s="1"/>
    </row>
    <row r="464" spans="17:18" ht="12.75" customHeight="1">
      <c r="Q464" s="1"/>
      <c r="R464" s="1"/>
    </row>
    <row r="465" spans="10:18" ht="12.75" customHeight="1">
      <c r="J465" s="87"/>
      <c r="Q465" s="1"/>
      <c r="R465" s="1"/>
    </row>
    <row r="466" spans="10:18" ht="12.75" customHeight="1">
      <c r="J466" s="88"/>
      <c r="Q466" s="1"/>
      <c r="R466" s="1"/>
    </row>
    <row r="467" spans="10:18" ht="12.75" customHeight="1">
      <c r="J467" s="88"/>
      <c r="Q467" s="1"/>
      <c r="R467" s="1"/>
    </row>
    <row r="468" spans="17:18" ht="12.75" customHeight="1">
      <c r="Q468" s="1"/>
      <c r="R468" s="1"/>
    </row>
    <row r="469" spans="17:18" ht="12.75" customHeight="1">
      <c r="Q469" s="1"/>
      <c r="R469" s="1"/>
    </row>
    <row r="470" spans="17:18" ht="12.75" customHeight="1">
      <c r="Q470" s="1"/>
      <c r="R470" s="1"/>
    </row>
    <row r="471" spans="17:18" ht="12.75" customHeight="1">
      <c r="Q471" s="1"/>
      <c r="R471" s="1"/>
    </row>
    <row r="472" spans="17:18" ht="12.75" customHeight="1">
      <c r="Q472" s="1"/>
      <c r="R472" s="1"/>
    </row>
    <row r="473" spans="17:18" ht="12.75" customHeight="1">
      <c r="Q473" s="1"/>
      <c r="R473" s="1"/>
    </row>
    <row r="474" spans="17:18" ht="12.75" customHeight="1">
      <c r="Q474" s="1"/>
      <c r="R474" s="1"/>
    </row>
    <row r="475" spans="17:18" ht="12.75" customHeight="1">
      <c r="Q475" s="1"/>
      <c r="R475" s="1"/>
    </row>
    <row r="476" spans="17:18" ht="12.75" customHeight="1">
      <c r="Q476" s="1"/>
      <c r="R476" s="1"/>
    </row>
    <row r="477" spans="17:18" ht="12.75" customHeight="1">
      <c r="Q477" s="1"/>
      <c r="R477" s="1"/>
    </row>
    <row r="478" spans="17:18" ht="12.75" customHeight="1">
      <c r="Q478" s="1"/>
      <c r="R478" s="1"/>
    </row>
    <row r="479" spans="17:18" ht="12.75" customHeight="1">
      <c r="Q479" s="1"/>
      <c r="R479" s="1"/>
    </row>
    <row r="480" spans="17:18" ht="12.75" customHeight="1">
      <c r="Q480" s="1"/>
      <c r="R480" s="1"/>
    </row>
    <row r="481" spans="17:18" ht="12.75" customHeight="1">
      <c r="Q481" s="1"/>
      <c r="R481" s="1"/>
    </row>
    <row r="482" spans="17:18" ht="12.75" customHeight="1">
      <c r="Q482" s="1"/>
      <c r="R482" s="1"/>
    </row>
    <row r="483" spans="17:18" ht="12.75" customHeight="1">
      <c r="Q483" s="1"/>
      <c r="R483" s="1"/>
    </row>
    <row r="484" spans="17:18" ht="12.75" customHeight="1">
      <c r="Q484" s="1"/>
      <c r="R484" s="1"/>
    </row>
    <row r="485" spans="17:18" ht="12.75" customHeight="1">
      <c r="Q485" s="1"/>
      <c r="R485" s="1"/>
    </row>
    <row r="486" spans="17:18" ht="12.75" customHeight="1">
      <c r="Q486" s="1"/>
      <c r="R486" s="1"/>
    </row>
    <row r="487" spans="17:18" ht="12.75" customHeight="1">
      <c r="Q487" s="1"/>
      <c r="R487" s="1"/>
    </row>
    <row r="488" spans="17:18" ht="12.75" customHeight="1">
      <c r="Q488" s="1"/>
      <c r="R488" s="1"/>
    </row>
    <row r="489" spans="17:18" ht="12.75" customHeight="1">
      <c r="Q489" s="1"/>
      <c r="R489" s="1"/>
    </row>
    <row r="490" spans="17:18" ht="12.75" customHeight="1">
      <c r="Q490" s="1"/>
      <c r="R490" s="1"/>
    </row>
    <row r="491" spans="17:18" ht="12.75" customHeight="1">
      <c r="Q491" s="1"/>
      <c r="R491" s="1"/>
    </row>
    <row r="492" spans="17:18" ht="12.75" customHeight="1">
      <c r="Q492" s="1"/>
      <c r="R492" s="1"/>
    </row>
    <row r="493" spans="17:18" ht="12.75" customHeight="1">
      <c r="Q493" s="1"/>
      <c r="R493" s="1"/>
    </row>
    <row r="494" spans="17:18" ht="12.75" customHeight="1">
      <c r="Q494" s="1"/>
      <c r="R494" s="1"/>
    </row>
    <row r="495" spans="17:18" ht="12.75" customHeight="1">
      <c r="Q495" s="1"/>
      <c r="R495" s="1"/>
    </row>
    <row r="496" spans="17:18" ht="12.75" customHeight="1">
      <c r="Q496" s="1"/>
      <c r="R496" s="1"/>
    </row>
    <row r="497" spans="17:18" ht="12.75" customHeight="1">
      <c r="Q497" s="1"/>
      <c r="R497" s="1"/>
    </row>
    <row r="498" spans="17:18" ht="12.75" customHeight="1">
      <c r="Q498" s="1"/>
      <c r="R498" s="1"/>
    </row>
    <row r="499" spans="17:18" ht="12.75" customHeight="1">
      <c r="Q499" s="1"/>
      <c r="R499" s="1"/>
    </row>
    <row r="500" spans="17:18" ht="12.75" customHeight="1">
      <c r="Q500" s="1"/>
      <c r="R500" s="1"/>
    </row>
    <row r="501" spans="17:18" ht="12.75" customHeight="1">
      <c r="Q501" s="1"/>
      <c r="R501" s="1"/>
    </row>
    <row r="502" spans="17:18" ht="12.75" customHeight="1">
      <c r="Q502" s="1"/>
      <c r="R502" s="1"/>
    </row>
    <row r="503" spans="17:18" ht="12.75" customHeight="1">
      <c r="Q503" s="1"/>
      <c r="R503" s="1"/>
    </row>
    <row r="504" spans="17:18" ht="12.75" customHeight="1">
      <c r="Q504" s="1"/>
      <c r="R504" s="1"/>
    </row>
    <row r="505" spans="17:18" ht="12.75" customHeight="1">
      <c r="Q505" s="1"/>
      <c r="R505" s="1"/>
    </row>
    <row r="506" spans="17:18" ht="12.75" customHeight="1">
      <c r="Q506" s="1"/>
      <c r="R506" s="1"/>
    </row>
    <row r="507" spans="17:18" ht="12.75" customHeight="1">
      <c r="Q507" s="1"/>
      <c r="R507" s="1"/>
    </row>
    <row r="508" spans="17:18" ht="12.75" customHeight="1">
      <c r="Q508" s="1"/>
      <c r="R508" s="1"/>
    </row>
    <row r="509" spans="17:18" ht="12.75" customHeight="1">
      <c r="Q509" s="1"/>
      <c r="R509" s="1"/>
    </row>
    <row r="510" spans="17:18" ht="12.75" customHeight="1">
      <c r="Q510" s="1"/>
      <c r="R510" s="1"/>
    </row>
    <row r="511" spans="17:18" ht="12.75" customHeight="1">
      <c r="Q511" s="1"/>
      <c r="R511" s="1"/>
    </row>
    <row r="512" spans="17:18" ht="12.75" customHeight="1">
      <c r="Q512" s="1"/>
      <c r="R512" s="1"/>
    </row>
    <row r="513" spans="17:18" ht="12.75" customHeight="1">
      <c r="Q513" s="1"/>
      <c r="R513" s="1"/>
    </row>
    <row r="514" spans="17:18" ht="12.75" customHeight="1">
      <c r="Q514" s="1"/>
      <c r="R514" s="1"/>
    </row>
    <row r="515" spans="17:18" ht="12.75" customHeight="1">
      <c r="Q515" s="1"/>
      <c r="R515" s="1"/>
    </row>
    <row r="516" spans="17:18" ht="12.75" customHeight="1">
      <c r="Q516" s="1"/>
      <c r="R516" s="1"/>
    </row>
    <row r="517" spans="17:18" ht="12.75" customHeight="1">
      <c r="Q517" s="1"/>
      <c r="R517" s="1"/>
    </row>
    <row r="518" spans="17:18" ht="12.75" customHeight="1">
      <c r="Q518" s="1"/>
      <c r="R518" s="1"/>
    </row>
    <row r="519" spans="17:18" ht="12.75" customHeight="1">
      <c r="Q519" s="1"/>
      <c r="R519" s="1"/>
    </row>
    <row r="520" spans="17:18" ht="12.75" customHeight="1">
      <c r="Q520" s="1"/>
      <c r="R520" s="1"/>
    </row>
    <row r="521" spans="17:18" ht="12.75" customHeight="1">
      <c r="Q521" s="1"/>
      <c r="R521" s="1"/>
    </row>
    <row r="522" spans="17:18" ht="12.75" customHeight="1">
      <c r="Q522" s="1"/>
      <c r="R522" s="1"/>
    </row>
    <row r="523" spans="17:18" ht="12.75" customHeight="1">
      <c r="Q523" s="1"/>
      <c r="R523" s="1"/>
    </row>
    <row r="524" spans="17:18" ht="12.75" customHeight="1">
      <c r="Q524" s="1"/>
      <c r="R524" s="1"/>
    </row>
    <row r="525" spans="17:18" ht="12.75" customHeight="1">
      <c r="Q525" s="1"/>
      <c r="R525" s="1"/>
    </row>
    <row r="526" spans="17:18" ht="12.75" customHeight="1">
      <c r="Q526" s="1"/>
      <c r="R526" s="1"/>
    </row>
    <row r="527" spans="17:18" ht="12.75" customHeight="1">
      <c r="Q527" s="1"/>
      <c r="R527" s="1"/>
    </row>
    <row r="528" spans="17:18" ht="12.75" customHeight="1">
      <c r="Q528" s="1"/>
      <c r="R528" s="1"/>
    </row>
    <row r="529" spans="17:18" ht="12.75" customHeight="1">
      <c r="Q529" s="1"/>
      <c r="R529" s="1"/>
    </row>
    <row r="530" spans="17:18" ht="12.75" customHeight="1">
      <c r="Q530" s="1"/>
      <c r="R530" s="1"/>
    </row>
    <row r="531" spans="17:18" ht="12.75" customHeight="1">
      <c r="Q531" s="1"/>
      <c r="R531" s="1"/>
    </row>
    <row r="532" spans="17:18" ht="12.75" customHeight="1">
      <c r="Q532" s="1"/>
      <c r="R532" s="1"/>
    </row>
    <row r="533" spans="17:18" ht="12.75" customHeight="1">
      <c r="Q533" s="1"/>
      <c r="R533" s="1"/>
    </row>
    <row r="534" spans="17:18" ht="12.75" customHeight="1">
      <c r="Q534" s="1"/>
      <c r="R534" s="1"/>
    </row>
    <row r="535" spans="17:18" ht="12.75" customHeight="1">
      <c r="Q535" s="1"/>
      <c r="R535" s="1"/>
    </row>
    <row r="536" spans="17:18" ht="12.75" customHeight="1">
      <c r="Q536" s="1"/>
      <c r="R536" s="1"/>
    </row>
    <row r="537" spans="17:18" ht="12.75" customHeight="1">
      <c r="Q537" s="1"/>
      <c r="R537" s="1"/>
    </row>
    <row r="538" spans="17:18" ht="12.75" customHeight="1">
      <c r="Q538" s="1"/>
      <c r="R538" s="1"/>
    </row>
    <row r="539" spans="17:18" ht="12.75" customHeight="1">
      <c r="Q539" s="1"/>
      <c r="R539" s="1"/>
    </row>
    <row r="540" spans="17:18" ht="12.75" customHeight="1">
      <c r="Q540" s="1"/>
      <c r="R540" s="1"/>
    </row>
    <row r="541" spans="17:18" ht="12.75" customHeight="1">
      <c r="Q541" s="1"/>
      <c r="R541" s="1"/>
    </row>
  </sheetData>
  <sheetProtection selectLockedCells="1" selectUnlockedCells="1"/>
  <mergeCells count="136">
    <mergeCell ref="B5:B8"/>
    <mergeCell ref="I452:M452"/>
    <mergeCell ref="I456:M457"/>
    <mergeCell ref="B419:B421"/>
    <mergeCell ref="B422:B424"/>
    <mergeCell ref="B425:B427"/>
    <mergeCell ref="B428:B430"/>
    <mergeCell ref="B413:B415"/>
    <mergeCell ref="B416:B418"/>
    <mergeCell ref="B404:B406"/>
    <mergeCell ref="B407:B409"/>
    <mergeCell ref="B410:B412"/>
    <mergeCell ref="B283:B291"/>
    <mergeCell ref="B381:B383"/>
    <mergeCell ref="B384:B388"/>
    <mergeCell ref="B393:B395"/>
    <mergeCell ref="B396:B398"/>
    <mergeCell ref="B389:B392"/>
    <mergeCell ref="B360:B365"/>
    <mergeCell ref="B366:B368"/>
    <mergeCell ref="B369:B371"/>
    <mergeCell ref="B376:B380"/>
    <mergeCell ref="B372:B375"/>
    <mergeCell ref="B346:B349"/>
    <mergeCell ref="B350:B353"/>
    <mergeCell ref="B354:B356"/>
    <mergeCell ref="B357:B359"/>
    <mergeCell ref="B332:B335"/>
    <mergeCell ref="B336:B338"/>
    <mergeCell ref="B339:B341"/>
    <mergeCell ref="B342:B345"/>
    <mergeCell ref="B317:B319"/>
    <mergeCell ref="B320:B322"/>
    <mergeCell ref="B323:B325"/>
    <mergeCell ref="B329:B331"/>
    <mergeCell ref="B326:B328"/>
    <mergeCell ref="B304:B306"/>
    <mergeCell ref="B307:B309"/>
    <mergeCell ref="B310:B312"/>
    <mergeCell ref="B313:B316"/>
    <mergeCell ref="B292:B294"/>
    <mergeCell ref="B295:B297"/>
    <mergeCell ref="B298:B300"/>
    <mergeCell ref="B301:B303"/>
    <mergeCell ref="B273:B275"/>
    <mergeCell ref="B276:B278"/>
    <mergeCell ref="B279:B282"/>
    <mergeCell ref="B261:B263"/>
    <mergeCell ref="B264:B266"/>
    <mergeCell ref="B267:B269"/>
    <mergeCell ref="B270:B272"/>
    <mergeCell ref="B251:B253"/>
    <mergeCell ref="B254:B257"/>
    <mergeCell ref="B258:B260"/>
    <mergeCell ref="B231:B234"/>
    <mergeCell ref="B235:B237"/>
    <mergeCell ref="B241:B245"/>
    <mergeCell ref="B246:B250"/>
    <mergeCell ref="B238:B240"/>
    <mergeCell ref="B218:B220"/>
    <mergeCell ref="B221:B223"/>
    <mergeCell ref="B224:B226"/>
    <mergeCell ref="B227:B230"/>
    <mergeCell ref="B201:B203"/>
    <mergeCell ref="B204:B211"/>
    <mergeCell ref="B212:B214"/>
    <mergeCell ref="B215:B217"/>
    <mergeCell ref="B184:B186"/>
    <mergeCell ref="B187:B189"/>
    <mergeCell ref="B190:B195"/>
    <mergeCell ref="B196:B200"/>
    <mergeCell ref="B172:B174"/>
    <mergeCell ref="B175:B177"/>
    <mergeCell ref="B178:B180"/>
    <mergeCell ref="B181:B183"/>
    <mergeCell ref="B156:B158"/>
    <mergeCell ref="B159:B162"/>
    <mergeCell ref="B163:B165"/>
    <mergeCell ref="B169:B171"/>
    <mergeCell ref="B166:B168"/>
    <mergeCell ref="B140:B142"/>
    <mergeCell ref="B143:B145"/>
    <mergeCell ref="B149:B152"/>
    <mergeCell ref="B153:B155"/>
    <mergeCell ref="B146:B148"/>
    <mergeCell ref="B118:B127"/>
    <mergeCell ref="B131:B133"/>
    <mergeCell ref="B134:B139"/>
    <mergeCell ref="B128:B130"/>
    <mergeCell ref="B106:B108"/>
    <mergeCell ref="B109:B111"/>
    <mergeCell ref="B112:B114"/>
    <mergeCell ref="B115:B117"/>
    <mergeCell ref="B94:B96"/>
    <mergeCell ref="B97:B99"/>
    <mergeCell ref="B100:B102"/>
    <mergeCell ref="B103:B105"/>
    <mergeCell ref="B80:B83"/>
    <mergeCell ref="B84:B86"/>
    <mergeCell ref="B87:B90"/>
    <mergeCell ref="B91:B93"/>
    <mergeCell ref="B60:B64"/>
    <mergeCell ref="B65:B67"/>
    <mergeCell ref="B68:B76"/>
    <mergeCell ref="B77:B79"/>
    <mergeCell ref="B48:B50"/>
    <mergeCell ref="B51:B53"/>
    <mergeCell ref="B54:B56"/>
    <mergeCell ref="B57:B59"/>
    <mergeCell ref="B35:B38"/>
    <mergeCell ref="B39:B41"/>
    <mergeCell ref="B42:B44"/>
    <mergeCell ref="B45:B47"/>
    <mergeCell ref="B23:B25"/>
    <mergeCell ref="B26:B28"/>
    <mergeCell ref="B29:B31"/>
    <mergeCell ref="B32:B34"/>
    <mergeCell ref="B9:B12"/>
    <mergeCell ref="B13:B15"/>
    <mergeCell ref="B16:B19"/>
    <mergeCell ref="B20:B22"/>
    <mergeCell ref="U2:U4"/>
    <mergeCell ref="V2:W3"/>
    <mergeCell ref="F3:F4"/>
    <mergeCell ref="G3:H3"/>
    <mergeCell ref="I3:I4"/>
    <mergeCell ref="B399:B403"/>
    <mergeCell ref="B1:W1"/>
    <mergeCell ref="B2:B3"/>
    <mergeCell ref="C2:C4"/>
    <mergeCell ref="D2:E4"/>
    <mergeCell ref="F2:I2"/>
    <mergeCell ref="J2:P3"/>
    <mergeCell ref="Q2:R3"/>
    <mergeCell ref="S2:S4"/>
    <mergeCell ref="T2:T4"/>
  </mergeCells>
  <printOptions/>
  <pageMargins left="0.3597222222222222" right="0.19652777777777777" top="0.6402777777777777" bottom="0.7875" header="0.5118055555555555" footer="0.511805555555555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mccga</cp:lastModifiedBy>
  <cp:lastPrinted>2013-10-21T14:24:10Z</cp:lastPrinted>
  <dcterms:created xsi:type="dcterms:W3CDTF">2010-01-28T12:41:07Z</dcterms:created>
  <dcterms:modified xsi:type="dcterms:W3CDTF">2013-10-21T14:32:06Z</dcterms:modified>
  <cp:category/>
  <cp:version/>
  <cp:contentType/>
  <cp:contentStatus/>
  <cp:revision>4</cp:revision>
</cp:coreProperties>
</file>