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abril2013" sheetId="1" r:id="rId1"/>
  </sheets>
  <externalReferences>
    <externalReference r:id="rId4"/>
  </externalReferences>
  <definedNames>
    <definedName name="_xlnm.Print_Area" localSheetId="0">'abril2013'!$B$2:$W$485</definedName>
    <definedName name="Excel_BuiltIn__FilterDatabase">'abril2013'!$B$4:$W$476</definedName>
    <definedName name="_xlnm.Print_Titles" localSheetId="0">'abril2013'!$1:$4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<sst xmlns="http://schemas.openxmlformats.org/spreadsheetml/2006/main" count="615" uniqueCount="244">
  <si>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</si>
  <si>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</si>
  <si>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</si>
  <si>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</si>
  <si>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</si>
  <si>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</si>
  <si>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</si>
  <si>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</si>
  <si>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</si>
  <si>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</si>
  <si>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</si>
  <si>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</si>
  <si>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</si>
  <si>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</si>
  <si>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</si>
  <si>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</si>
  <si>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</si>
  <si>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</si>
  <si>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</si>
  <si>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</si>
  <si>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</si>
  <si>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</si>
  <si>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</si>
  <si>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</si>
  <si>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</si>
  <si>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</si>
  <si>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</si>
  <si>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</si>
  <si>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</si>
  <si>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</si>
  <si>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</si>
  <si>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</si>
  <si>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</si>
  <si>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</si>
  <si>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</si>
  <si>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</si>
  <si>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</si>
  <si>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</si>
  <si>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</si>
  <si>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</si>
  <si>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</si>
  <si>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</si>
  <si>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</si>
  <si>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</si>
  <si>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</si>
  <si>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</si>
  <si>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</si>
  <si>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</si>
  <si>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</si>
  <si>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</si>
  <si>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</si>
  <si>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</si>
  <si>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</si>
  <si>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CELIVALDO VAREJÃO FERREIRA DE ALCANTÂRA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</si>
  <si>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</si>
  <si>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</si>
  <si>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</si>
  <si>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</si>
  <si>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</si>
  <si>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</si>
  <si>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</si>
  <si>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</si>
  <si>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</si>
  <si>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</si>
  <si>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</si>
  <si>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</si>
  <si>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</si>
  <si>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</si>
  <si>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</si>
  <si>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</si>
  <si>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</si>
  <si>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</si>
  <si>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</si>
  <si>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HUGO CAVALCANTI DE MELO FILHO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</si>
  <si>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</si>
  <si>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</si>
  <si>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</si>
  <si>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</si>
  <si>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</si>
  <si>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</si>
  <si>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</si>
  <si>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</si>
  <si>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</si>
  <si>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</si>
  <si>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</si>
  <si>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</si>
  <si>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</si>
  <si>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</si>
  <si>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</si>
  <si>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</si>
  <si>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</si>
  <si>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</si>
  <si>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</si>
  <si>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</si>
  <si>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</si>
  <si>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</si>
  <si>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</si>
  <si>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</si>
  <si>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</si>
  <si>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</si>
  <si>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</si>
  <si>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</si>
  <si>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</si>
  <si>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</si>
  <si>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</si>
  <si>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</si>
  <si>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</si>
  <si>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</si>
  <si>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</si>
  <si>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</si>
  <si>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</si>
  <si>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</si>
  <si>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</si>
  <si>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</si>
  <si>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</si>
  <si>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</si>
  <si>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</si>
  <si>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</si>
  <si>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</si>
  <si>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</si>
  <si>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</si>
  <si>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</si>
  <si>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</si>
  <si>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</si>
  <si>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</si>
  <si>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</si>
  <si>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TORRES TEIXEIRA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</si>
  <si>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</si>
  <si>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</si>
  <si>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</si>
  <si>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</si>
  <si>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</si>
  <si>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</si>
  <si>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</si>
  <si>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</si>
  <si>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YOLANDA POLIMENI DE A. PINHEIRO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</si>
  <si>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</si>
  <si>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</si>
  <si>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</si>
  <si>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</si>
  <si>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</si>
  <si>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</si>
  <si>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</si>
  <si>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</si>
  <si>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</si>
  <si>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</si>
  <si>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</si>
  <si>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</si>
  <si>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</si>
  <si>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</si>
  <si>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</si>
  <si>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</si>
  <si>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</si>
  <si>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</si>
  <si>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</si>
  <si>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</si>
  <si>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</si>
  <si>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</si>
  <si>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</si>
  <si>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 xml:space="preserve">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</si>
  <si>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</si>
  <si>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</si>
  <si>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</si>
  <si>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</si>
  <si>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</si>
  <si>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C</t>
  </si>
  <si>
    <t>KATHARINA VILA NOVA DE CARVALHO OLIVEIRA E SILVA</t>
  </si>
  <si>
    <t>5ª VT Jaboatão</t>
  </si>
  <si>
    <t>LTRA- Licença p/ Trânsito</t>
  </si>
  <si>
    <t>Desembargadora Corregedora
   do TRT 6a. Região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</si>
  <si>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</si>
  <si>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</si>
  <si>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</si>
  <si>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</si>
  <si>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</si>
  <si>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LG</t>
  </si>
  <si>
    <t xml:space="preserve"> 08.10 a 05.04.13</t>
  </si>
  <si>
    <t>LEVI PEREIRA DE OLIVEIRA</t>
  </si>
  <si>
    <t>01.11.12 a 29.04.13</t>
  </si>
  <si>
    <t>2ª VT Ribeirão</t>
  </si>
  <si>
    <t xml:space="preserve">SITUAÇÃO * </t>
  </si>
  <si>
    <t>3ª VT Petrolina</t>
  </si>
  <si>
    <t>14.01 a 10.07.13</t>
  </si>
  <si>
    <t>SITUAÇÃO  *</t>
  </si>
  <si>
    <t>VANESSA ZACCHÊ DE SÁ</t>
  </si>
  <si>
    <t>Virgínia Malta Canavarro</t>
  </si>
  <si>
    <t>GERMANA CAMAROTTI TAVARES</t>
  </si>
  <si>
    <t>2ª VT Palmares</t>
  </si>
  <si>
    <t>RENATO VIEIRA DE FARIA</t>
  </si>
  <si>
    <t>SARAH YOLANDA ALVES DE SOUZA</t>
  </si>
  <si>
    <t>FEV/13 A JAN/15</t>
  </si>
  <si>
    <t>RODRIGO ANDERSON FERREIRA OLIVEIRA</t>
  </si>
  <si>
    <t>11.03 a 12.04.13</t>
  </si>
  <si>
    <t>20.02 a 05.04.13</t>
  </si>
  <si>
    <t xml:space="preserve">(*)Retificadas as produtividades da juíza Renata Lapenda Rodrigues de Melo, referentes ao mês de fevereiro/13, em relação à 1ª VT de Palmares, para constar saldos de "14" no prazo e "0" fora do prazo. </t>
  </si>
  <si>
    <t>19.03 a 22.04.13</t>
  </si>
  <si>
    <t>17.09.12 a 15.04.13</t>
  </si>
  <si>
    <t xml:space="preserve">Informo que os referidos processos foram danificados na cheia de 2010 e estão aguardando a devida restauração.  </t>
  </si>
  <si>
    <t>PRODUTIVIDADE DOS JUÍZES DE 1ª INSTÂNCIA DO TRT DA 6ª REGIÃO - ABRIL/2013</t>
  </si>
  <si>
    <t xml:space="preserve">(*)No período de 18.03 a 03.04 a VT de Vitória esteve fechada para implantação do PJe (O.S. TRT-GP 153/13).  </t>
  </si>
  <si>
    <t xml:space="preserve">(*)No período de 1º.04 a 15.04 a VT de Nazaré da Mata esteve fechada para implantação do PJe (O.S. TRT-GP 192/13).  </t>
  </si>
  <si>
    <t xml:space="preserve">(*)No período de 15.04 a 29.04 a VT de São Lourenço da Mata esteve fechada para implantação do PJe (O.S. TRT-GP 193/13).  </t>
  </si>
  <si>
    <t xml:space="preserve">(*)Retificada a produtividade do juiz Rodrigo Anderson Ferreira Oliveira, referente ao mês de março/13, em relação ao Termo Judiciário de Sertânia,quanto nº de proc. recebidos e solucionados e para constar  </t>
  </si>
  <si>
    <t>como saldos de  "4" no prazo e "0" fora do prazo.</t>
  </si>
  <si>
    <t>01.04 a 30.04.13</t>
  </si>
  <si>
    <t>12.04 a 14.05.13</t>
  </si>
  <si>
    <t xml:space="preserve">F  </t>
  </si>
  <si>
    <t xml:space="preserve">12.03 a 10.04.13                        </t>
  </si>
  <si>
    <t>23.04 a 22.05.13</t>
  </si>
  <si>
    <t>29.04 a 31.05.13</t>
  </si>
  <si>
    <t>LACF</t>
  </si>
  <si>
    <t>15.04 a 13.06.13</t>
  </si>
  <si>
    <t>25.03 a 03.04.13</t>
  </si>
  <si>
    <t>31.07 a 02.07.13</t>
  </si>
  <si>
    <t>16.04 a 19.04.13</t>
  </si>
  <si>
    <t xml:space="preserve">(*)Retificada a produtividade da juíza Cláudia Christina Santos R. de Lima, referente ao mês de março/13, em relação à 5ª VT do Recife, para constar como saldos de  "13" no prazo e "4" fora do prazo;  </t>
  </si>
  <si>
    <t>C                                                   AF</t>
  </si>
  <si>
    <t xml:space="preserve"> 25.02 a 22.04.13         01 a 05 e 19.04   </t>
  </si>
  <si>
    <t>23.04.13</t>
  </si>
  <si>
    <t xml:space="preserve">(*)Retificada a produtividade do juiz Hélio Luiz Fernandes Galvão, referente ao mês de março/13, em relação à 5ª VT do Recife, para constar como saldos de  "7" no prazo e "2" fora do prazo;  </t>
  </si>
  <si>
    <t>LACF                     LM                         F</t>
  </si>
  <si>
    <t>03.04 a 05.04.13      06.04 a 09.04.13       18.04 a 17.05.13</t>
  </si>
  <si>
    <t>01.04 a 04.04.13</t>
  </si>
  <si>
    <t>22.04.13</t>
  </si>
  <si>
    <t xml:space="preserve">(*)Retificada a produtividade do juiz Levi Pereira de Oliveira, referente ao mês de março/13, em relação à 2ª VT do Recife, para constar como saldos de  "5" no prazo e "0" fora do prazo;  </t>
  </si>
  <si>
    <t>15.04 a 14.05.13</t>
  </si>
  <si>
    <t>AF                                   F</t>
  </si>
  <si>
    <t>01.04 a 05.04.13    08.04 a 07.05.13</t>
  </si>
  <si>
    <t>Comp</t>
  </si>
  <si>
    <t>29.04 a 30.04.13</t>
  </si>
  <si>
    <t>07.01 a 25.05.13</t>
  </si>
  <si>
    <t>01.04 a 07.06.13</t>
  </si>
  <si>
    <t>OUV                                LM</t>
  </si>
  <si>
    <t>FEV/13 a JAN/15      12.04 a 21.04.13</t>
  </si>
  <si>
    <t>16.04 a 17.04.13</t>
  </si>
  <si>
    <t xml:space="preserve">(*)Retificadas as produtividades da juíza Renata Lapenda Rodrigues de Melo, referentes ao mês de março/13, em relação à 1ª VT de Ribeirão, para constar saldos de "0" no prazo e "32" fora do prazo. </t>
  </si>
  <si>
    <t>15.04 a 17.04.13</t>
  </si>
  <si>
    <t xml:space="preserve">AF  </t>
  </si>
  <si>
    <t>15.04 e 16.04.13</t>
  </si>
  <si>
    <t>04.04 a 05.04.13</t>
  </si>
  <si>
    <t>C                                                  OUT</t>
  </si>
  <si>
    <t>25.02 a 1º.04.13      Desemb. 16.04.13</t>
  </si>
  <si>
    <t xml:space="preserve">(*)Retificada a produtividade da juíza Evellyne Ferraz Correia de Farias, referente ao mês de marçoo/13, em relação à 1ª VT de Ribeirão, para constar como saldos de  "8" no prazo e "16" fora do prazo;  </t>
  </si>
  <si>
    <t>Recife, 27 de maio 2013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</si>
</sst>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24" xfId="0" applyFont="1" applyFill="1" applyBorder="1" applyAlignment="1" applyProtection="1">
      <alignment vertical="center"/>
      <protection locked="0"/>
    </xf>
    <xf numFmtId="0" fontId="18" fillId="25" borderId="24" xfId="0" applyFont="1" applyFill="1" applyBorder="1" applyAlignment="1" applyProtection="1">
      <alignment horizontal="center" vertical="center"/>
      <protection locked="0"/>
    </xf>
    <xf numFmtId="1" fontId="18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24" xfId="0" applyFont="1" applyFill="1" applyBorder="1" applyAlignment="1" applyProtection="1">
      <alignment horizontal="center" vertical="center"/>
      <protection locked="0"/>
    </xf>
    <xf numFmtId="1" fontId="20" fillId="25" borderId="25" xfId="0" applyNumberFormat="1" applyFont="1" applyFill="1" applyBorder="1" applyAlignment="1" applyProtection="1">
      <alignment horizontal="center" vertical="center"/>
      <protection locked="0"/>
    </xf>
    <xf numFmtId="10" fontId="20" fillId="25" borderId="24" xfId="0" applyNumberFormat="1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25" borderId="24" xfId="0" applyFont="1" applyFill="1" applyBorder="1" applyAlignment="1" applyProtection="1">
      <alignment horizontal="center" vertical="center" wrapText="1"/>
      <protection locked="0"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9"/>
  <sheetViews>
    <sheetView tabSelected="1" zoomScale="90" zoomScaleNormal="90" workbookViewId="0" topLeftCell="A1">
      <pane xSplit="2" ySplit="4" topLeftCell="C452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470" sqref="B470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35" t="s">
        <v>198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36" t="s">
        <v>0</v>
      </c>
      <c r="C2" s="137" t="s">
        <v>1</v>
      </c>
      <c r="D2" s="138" t="s">
        <v>2</v>
      </c>
      <c r="E2" s="138"/>
      <c r="F2" s="139" t="s">
        <v>3</v>
      </c>
      <c r="G2" s="139"/>
      <c r="H2" s="139"/>
      <c r="I2" s="139"/>
      <c r="J2" s="131" t="s">
        <v>4</v>
      </c>
      <c r="K2" s="131"/>
      <c r="L2" s="131"/>
      <c r="M2" s="131"/>
      <c r="N2" s="131"/>
      <c r="O2" s="131"/>
      <c r="P2" s="131"/>
      <c r="Q2" s="140" t="s">
        <v>5</v>
      </c>
      <c r="R2" s="140"/>
      <c r="S2" s="141" t="s">
        <v>6</v>
      </c>
      <c r="T2" s="141" t="s">
        <v>7</v>
      </c>
      <c r="U2" s="141" t="s">
        <v>8</v>
      </c>
      <c r="V2" s="131" t="s">
        <v>9</v>
      </c>
      <c r="W2" s="131"/>
    </row>
    <row r="3" spans="2:23" ht="33.75" customHeight="1">
      <c r="B3" s="136"/>
      <c r="C3" s="137"/>
      <c r="D3" s="138"/>
      <c r="E3" s="138"/>
      <c r="F3" s="132" t="s">
        <v>10</v>
      </c>
      <c r="G3" s="133" t="s">
        <v>11</v>
      </c>
      <c r="H3" s="133"/>
      <c r="I3" s="134" t="s">
        <v>12</v>
      </c>
      <c r="J3" s="131"/>
      <c r="K3" s="131"/>
      <c r="L3" s="131"/>
      <c r="M3" s="131"/>
      <c r="N3" s="131"/>
      <c r="O3" s="131"/>
      <c r="P3" s="131"/>
      <c r="Q3" s="140"/>
      <c r="R3" s="140"/>
      <c r="S3" s="141"/>
      <c r="T3" s="141"/>
      <c r="U3" s="141"/>
      <c r="V3" s="131"/>
      <c r="W3" s="131"/>
    </row>
    <row r="4" spans="2:23" ht="34.5" customHeight="1">
      <c r="B4" s="10" t="s">
        <v>13</v>
      </c>
      <c r="C4" s="137"/>
      <c r="D4" s="138"/>
      <c r="E4" s="138"/>
      <c r="F4" s="132"/>
      <c r="G4" s="11" t="s">
        <v>14</v>
      </c>
      <c r="H4" s="11" t="s">
        <v>15</v>
      </c>
      <c r="I4" s="134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41"/>
      <c r="T4" s="141"/>
      <c r="U4" s="141"/>
      <c r="V4" s="13" t="s">
        <v>22</v>
      </c>
      <c r="W4" s="9" t="s">
        <v>23</v>
      </c>
    </row>
    <row r="5" spans="2:23" ht="22.5" customHeight="1">
      <c r="B5" s="116" t="s">
        <v>171</v>
      </c>
      <c r="C5" s="89" t="s">
        <v>2</v>
      </c>
      <c r="D5" s="103"/>
      <c r="E5" s="91" t="s">
        <v>27</v>
      </c>
      <c r="F5" s="92"/>
      <c r="G5" s="92"/>
      <c r="H5" s="92"/>
      <c r="I5" s="93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4"/>
      <c r="W5" s="94"/>
    </row>
    <row r="6" spans="1:23" ht="21" customHeight="1">
      <c r="A6" s="1">
        <v>62</v>
      </c>
      <c r="B6" s="116"/>
      <c r="C6" s="95" t="str">
        <f>IF(A6="","VARA",VLOOKUP(A6,'[1]varas'!$A$4:$B$67,2))</f>
        <v>PAJT Floresta</v>
      </c>
      <c r="D6" s="103"/>
      <c r="E6" s="91"/>
      <c r="F6" s="92">
        <f>36+3+7</f>
        <v>46</v>
      </c>
      <c r="G6" s="92">
        <v>0</v>
      </c>
      <c r="H6" s="92">
        <v>0</v>
      </c>
      <c r="I6" s="93">
        <f>SUM(F6:H6)</f>
        <v>46</v>
      </c>
      <c r="J6" s="92">
        <v>30</v>
      </c>
      <c r="K6" s="92">
        <v>6</v>
      </c>
      <c r="L6" s="92">
        <v>4</v>
      </c>
      <c r="M6" s="92">
        <v>3</v>
      </c>
      <c r="N6" s="92">
        <v>0</v>
      </c>
      <c r="O6" s="92">
        <v>3</v>
      </c>
      <c r="P6" s="92">
        <f>SUM(J6:O6)</f>
        <v>46</v>
      </c>
      <c r="Q6" s="92">
        <v>0</v>
      </c>
      <c r="R6" s="92">
        <v>0</v>
      </c>
      <c r="S6" s="92">
        <v>0</v>
      </c>
      <c r="T6" s="92">
        <v>0</v>
      </c>
      <c r="U6" s="92">
        <v>73</v>
      </c>
      <c r="V6" s="94"/>
      <c r="W6" s="94"/>
    </row>
    <row r="7" spans="1:23" ht="17.25" customHeight="1">
      <c r="A7" s="1">
        <v>59</v>
      </c>
      <c r="B7" s="116"/>
      <c r="C7" s="95" t="str">
        <f>IF(A7="","VARA",VLOOKUP(A7,'[1]varas'!$A$4:$B$67,2))</f>
        <v>VT Salgueiro</v>
      </c>
      <c r="D7" s="103"/>
      <c r="E7" s="91"/>
      <c r="F7" s="92">
        <f>56+47+11+12</f>
        <v>126</v>
      </c>
      <c r="G7" s="92">
        <v>9</v>
      </c>
      <c r="H7" s="92">
        <v>0</v>
      </c>
      <c r="I7" s="93">
        <f>SUM(F7:H7)</f>
        <v>135</v>
      </c>
      <c r="J7" s="92">
        <v>45</v>
      </c>
      <c r="K7" s="92">
        <v>3</v>
      </c>
      <c r="L7" s="92">
        <v>11</v>
      </c>
      <c r="M7" s="92">
        <v>12</v>
      </c>
      <c r="N7" s="92">
        <v>0</v>
      </c>
      <c r="O7" s="92">
        <v>47</v>
      </c>
      <c r="P7" s="92">
        <f>SUM(J7:O7)</f>
        <v>118</v>
      </c>
      <c r="Q7" s="92">
        <v>17</v>
      </c>
      <c r="R7" s="92">
        <v>0</v>
      </c>
      <c r="S7" s="92">
        <v>0</v>
      </c>
      <c r="T7" s="92">
        <v>0</v>
      </c>
      <c r="U7" s="92">
        <v>140</v>
      </c>
      <c r="V7" s="94"/>
      <c r="W7" s="94"/>
    </row>
    <row r="8" spans="2:23" ht="19.5" customHeight="1">
      <c r="B8" s="116"/>
      <c r="C8" s="96" t="s">
        <v>12</v>
      </c>
      <c r="D8" s="97"/>
      <c r="E8" s="98"/>
      <c r="F8" s="99">
        <f>SUM(F5:F7)</f>
        <v>172</v>
      </c>
      <c r="G8" s="99">
        <f>SUM(G5:G7)</f>
        <v>9</v>
      </c>
      <c r="H8" s="99">
        <f>SUM(H5:H7)</f>
        <v>0</v>
      </c>
      <c r="I8" s="100">
        <f>SUM(F8:H8)</f>
        <v>181</v>
      </c>
      <c r="J8" s="99">
        <f aca="true" t="shared" si="0" ref="J8:O8">SUM(J5:J7)</f>
        <v>75</v>
      </c>
      <c r="K8" s="99">
        <f t="shared" si="0"/>
        <v>9</v>
      </c>
      <c r="L8" s="99">
        <f t="shared" si="0"/>
        <v>15</v>
      </c>
      <c r="M8" s="99">
        <f t="shared" si="0"/>
        <v>15</v>
      </c>
      <c r="N8" s="99">
        <f t="shared" si="0"/>
        <v>0</v>
      </c>
      <c r="O8" s="99">
        <f t="shared" si="0"/>
        <v>50</v>
      </c>
      <c r="P8" s="99">
        <f>SUM(J8:O8)</f>
        <v>164</v>
      </c>
      <c r="Q8" s="99">
        <f>SUM(Q5:Q7)</f>
        <v>17</v>
      </c>
      <c r="R8" s="99">
        <f>SUM(R5:R7)</f>
        <v>0</v>
      </c>
      <c r="S8" s="99">
        <f>SUM(S5:S7)</f>
        <v>0</v>
      </c>
      <c r="T8" s="99">
        <f>SUM(T5:T7)</f>
        <v>0</v>
      </c>
      <c r="U8" s="99">
        <f>SUM(U5:U7)</f>
        <v>213</v>
      </c>
      <c r="V8" s="101">
        <f>IF(I8-Q8=0,"",IF(D8="",(P8+S8)/(I8-Q8),IF(AND(D8&lt;&gt;"",(P8+S8)/(I8-Q8)&gt;=50%),(P8+S8)/(I8-Q8),"")))</f>
        <v>1</v>
      </c>
      <c r="W8" s="101">
        <f>IF(I8=O8,"",IF(V8="",0,(P8+Q8+S8-O8)/(I8-O8)))</f>
        <v>1</v>
      </c>
    </row>
    <row r="9" spans="2:28" ht="24.75" customHeight="1">
      <c r="B9" s="122" t="s">
        <v>24</v>
      </c>
      <c r="C9" s="14" t="s">
        <v>2</v>
      </c>
      <c r="D9" s="29"/>
      <c r="E9" s="16" t="s">
        <v>27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21.75" customHeight="1">
      <c r="A10" s="1">
        <v>34</v>
      </c>
      <c r="B10" s="122"/>
      <c r="C10" s="20" t="str">
        <f>IF(A10="","VARA",VLOOKUP(A10,'[1]varas'!$A$4:$B$67,2))</f>
        <v>1ª VT Jaboatão</v>
      </c>
      <c r="D10" s="15"/>
      <c r="E10" s="16"/>
      <c r="F10" s="15">
        <f>51+26+6+7</f>
        <v>90</v>
      </c>
      <c r="G10" s="15">
        <v>4</v>
      </c>
      <c r="H10" s="15">
        <v>0</v>
      </c>
      <c r="I10" s="17">
        <f>SUM(F10:H10)</f>
        <v>94</v>
      </c>
      <c r="J10" s="15">
        <v>37</v>
      </c>
      <c r="K10" s="15">
        <v>13</v>
      </c>
      <c r="L10" s="15">
        <v>6</v>
      </c>
      <c r="M10" s="15">
        <v>7</v>
      </c>
      <c r="N10" s="15">
        <v>0</v>
      </c>
      <c r="O10" s="15">
        <v>26</v>
      </c>
      <c r="P10" s="15">
        <f>SUM(J10:O10)</f>
        <v>89</v>
      </c>
      <c r="Q10" s="15">
        <v>5</v>
      </c>
      <c r="R10" s="15">
        <v>0</v>
      </c>
      <c r="S10" s="15">
        <v>0</v>
      </c>
      <c r="T10" s="15">
        <v>0</v>
      </c>
      <c r="U10" s="15">
        <v>163</v>
      </c>
      <c r="V10" s="18"/>
      <c r="W10" s="18"/>
      <c r="AB10" s="19"/>
    </row>
    <row r="11" spans="1:28" ht="21" customHeight="1">
      <c r="A11" s="1">
        <v>66</v>
      </c>
      <c r="B11" s="122"/>
      <c r="C11" s="20" t="s">
        <v>167</v>
      </c>
      <c r="D11" s="15"/>
      <c r="E11" s="16"/>
      <c r="F11" s="15">
        <v>4</v>
      </c>
      <c r="G11" s="15">
        <v>0</v>
      </c>
      <c r="H11" s="15">
        <v>0</v>
      </c>
      <c r="I11" s="17">
        <f>SUM(F11:H11)</f>
        <v>4</v>
      </c>
      <c r="J11" s="15">
        <v>2</v>
      </c>
      <c r="K11" s="15">
        <v>1</v>
      </c>
      <c r="L11" s="15">
        <v>1</v>
      </c>
      <c r="M11" s="15">
        <v>0</v>
      </c>
      <c r="N11" s="15">
        <v>0</v>
      </c>
      <c r="O11" s="15">
        <v>0</v>
      </c>
      <c r="P11" s="15">
        <f>SUM(J11:O11)</f>
        <v>4</v>
      </c>
      <c r="Q11" s="15">
        <v>0</v>
      </c>
      <c r="R11" s="15">
        <v>0</v>
      </c>
      <c r="S11" s="15">
        <v>0</v>
      </c>
      <c r="T11" s="15">
        <v>0</v>
      </c>
      <c r="U11" s="15">
        <v>8</v>
      </c>
      <c r="V11" s="18"/>
      <c r="W11" s="18"/>
      <c r="AB11" s="19"/>
    </row>
    <row r="12" spans="1:29" s="27" customFormat="1" ht="18" customHeight="1">
      <c r="A12" s="1"/>
      <c r="B12" s="122"/>
      <c r="C12" s="21" t="s">
        <v>12</v>
      </c>
      <c r="D12" s="22"/>
      <c r="E12" s="23"/>
      <c r="F12" s="24">
        <f>SUM(F9:F11)</f>
        <v>94</v>
      </c>
      <c r="G12" s="24">
        <f>SUM(G9:G11)</f>
        <v>4</v>
      </c>
      <c r="H12" s="24">
        <f>SUM(H9:H11)</f>
        <v>0</v>
      </c>
      <c r="I12" s="25">
        <f>SUM(F12:H12)</f>
        <v>98</v>
      </c>
      <c r="J12" s="24">
        <f aca="true" t="shared" si="1" ref="J12:O12">SUM(J9:J11)</f>
        <v>39</v>
      </c>
      <c r="K12" s="24">
        <f t="shared" si="1"/>
        <v>14</v>
      </c>
      <c r="L12" s="24">
        <f t="shared" si="1"/>
        <v>7</v>
      </c>
      <c r="M12" s="24">
        <f t="shared" si="1"/>
        <v>7</v>
      </c>
      <c r="N12" s="24">
        <f t="shared" si="1"/>
        <v>0</v>
      </c>
      <c r="O12" s="24">
        <f t="shared" si="1"/>
        <v>26</v>
      </c>
      <c r="P12" s="24">
        <f>SUM(J12:O12)</f>
        <v>93</v>
      </c>
      <c r="Q12" s="24">
        <f>SUM(Q9:Q11)</f>
        <v>5</v>
      </c>
      <c r="R12" s="24">
        <f>SUM(R9:R11)</f>
        <v>0</v>
      </c>
      <c r="S12" s="24">
        <f>SUM(S9:S11)</f>
        <v>0</v>
      </c>
      <c r="T12" s="24">
        <f>SUM(T9:T11)</f>
        <v>0</v>
      </c>
      <c r="U12" s="24">
        <f>SUM(U9:U11)</f>
        <v>171</v>
      </c>
      <c r="V12" s="26">
        <f>IF(I12-Q12=0,"",IF(D12="",(P12+S12)/(I12-Q12),IF(AND(D12&lt;&gt;"",(P12+S12)/(I12-Q12)&gt;=50%),(P12+S12)/(I12-Q12),"")))</f>
        <v>1</v>
      </c>
      <c r="W12" s="26">
        <f>IF(I12=O12,"",IF(V12="",0,(P12+Q12+S12-O12)/(I12-O12)))</f>
        <v>1</v>
      </c>
      <c r="AC12" s="28"/>
    </row>
    <row r="13" spans="1:29" s="30" customFormat="1" ht="20.25" customHeight="1">
      <c r="A13" s="1"/>
      <c r="B13" s="123" t="s">
        <v>25</v>
      </c>
      <c r="C13" s="14" t="s">
        <v>161</v>
      </c>
      <c r="D13" s="29" t="s">
        <v>30</v>
      </c>
      <c r="E13" s="16" t="s">
        <v>204</v>
      </c>
      <c r="F13" s="15"/>
      <c r="G13" s="15"/>
      <c r="H13" s="15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"/>
      <c r="W13" s="18"/>
      <c r="AC13" s="31"/>
    </row>
    <row r="14" spans="1:29" s="30" customFormat="1" ht="16.5" customHeight="1">
      <c r="A14" s="1">
        <v>2</v>
      </c>
      <c r="B14" s="123"/>
      <c r="C14" s="20" t="str">
        <f>IF(A14="","VARA",VLOOKUP(A14,'[1]varas'!$A$4:$B$67,2))</f>
        <v>2ª VT Recife</v>
      </c>
      <c r="D14" s="29"/>
      <c r="E14" s="16"/>
      <c r="F14" s="15">
        <f>5</f>
        <v>5</v>
      </c>
      <c r="G14" s="15">
        <v>18</v>
      </c>
      <c r="H14" s="15">
        <v>0</v>
      </c>
      <c r="I14" s="17">
        <f>SUM(F14:H14)</f>
        <v>23</v>
      </c>
      <c r="J14" s="15">
        <v>3</v>
      </c>
      <c r="K14" s="15">
        <v>0</v>
      </c>
      <c r="L14" s="15">
        <v>3</v>
      </c>
      <c r="M14" s="15">
        <v>0</v>
      </c>
      <c r="N14" s="15">
        <v>0</v>
      </c>
      <c r="O14" s="15">
        <v>1</v>
      </c>
      <c r="P14" s="15">
        <f>SUM(J14:O14)</f>
        <v>7</v>
      </c>
      <c r="Q14" s="15">
        <v>10</v>
      </c>
      <c r="R14" s="15">
        <v>6</v>
      </c>
      <c r="S14" s="15">
        <v>0</v>
      </c>
      <c r="T14" s="15">
        <v>0</v>
      </c>
      <c r="U14" s="15">
        <v>1</v>
      </c>
      <c r="V14" s="18"/>
      <c r="W14" s="18"/>
      <c r="AC14" s="31"/>
    </row>
    <row r="15" spans="1:28" s="30" customFormat="1" ht="17.25" customHeight="1">
      <c r="A15" s="32"/>
      <c r="B15" s="123"/>
      <c r="C15" s="21" t="s">
        <v>12</v>
      </c>
      <c r="D15" s="33"/>
      <c r="E15" s="23"/>
      <c r="F15" s="24">
        <f>SUM(F13:F14)</f>
        <v>5</v>
      </c>
      <c r="G15" s="24">
        <f>SUM(G13:G14)</f>
        <v>18</v>
      </c>
      <c r="H15" s="24">
        <f>SUM(H13:H14)</f>
        <v>0</v>
      </c>
      <c r="I15" s="25">
        <f>SUM(F15:H15)</f>
        <v>23</v>
      </c>
      <c r="J15" s="24">
        <f aca="true" t="shared" si="2" ref="J15:O15">SUM(J13:J14)</f>
        <v>3</v>
      </c>
      <c r="K15" s="24">
        <f t="shared" si="2"/>
        <v>0</v>
      </c>
      <c r="L15" s="24">
        <f t="shared" si="2"/>
        <v>3</v>
      </c>
      <c r="M15" s="24">
        <f t="shared" si="2"/>
        <v>0</v>
      </c>
      <c r="N15" s="24">
        <f t="shared" si="2"/>
        <v>0</v>
      </c>
      <c r="O15" s="24">
        <f t="shared" si="2"/>
        <v>1</v>
      </c>
      <c r="P15" s="24">
        <f>SUM(J15:O15)</f>
        <v>7</v>
      </c>
      <c r="Q15" s="24">
        <f>SUM(Q13:Q14)</f>
        <v>10</v>
      </c>
      <c r="R15" s="24">
        <f>SUM(R13:R14)</f>
        <v>6</v>
      </c>
      <c r="S15" s="24">
        <f>SUM(S13:S14)</f>
        <v>0</v>
      </c>
      <c r="T15" s="24">
        <f>SUM(T13:T14)</f>
        <v>0</v>
      </c>
      <c r="U15" s="24">
        <f>SUM(U13:U14)</f>
        <v>1</v>
      </c>
      <c r="V15" s="26">
        <f>IF(I15-Q15=0,"",IF(D15="",(P15+S15)/(I15-Q15),IF(AND(D15&lt;&gt;"",(P15+S15)/(I15-Q15)&gt;=50%),(P15+S15)/(I15-Q15),"")))</f>
        <v>0.5384615384615384</v>
      </c>
      <c r="W15" s="26">
        <f>IF(I15=O15,"",IF(V15="",0,(P15+Q15+S15-O15)/(I15-O15)))</f>
        <v>0.7272727272727273</v>
      </c>
      <c r="AB15" s="34"/>
    </row>
    <row r="16" spans="1:28" s="30" customFormat="1" ht="21.75" customHeight="1">
      <c r="A16" s="32"/>
      <c r="B16" s="123" t="s">
        <v>26</v>
      </c>
      <c r="C16" s="14" t="s">
        <v>2</v>
      </c>
      <c r="D16" s="15"/>
      <c r="E16" s="16" t="s">
        <v>27</v>
      </c>
      <c r="F16" s="15"/>
      <c r="G16" s="15"/>
      <c r="H16" s="15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8"/>
      <c r="W16" s="18"/>
      <c r="AB16" s="34"/>
    </row>
    <row r="17" spans="1:28" s="30" customFormat="1" ht="20.25" customHeight="1">
      <c r="A17" s="32">
        <v>20</v>
      </c>
      <c r="B17" s="123"/>
      <c r="C17" s="20" t="str">
        <f>IF(A17="","VARA",VLOOKUP(A17,'[1]varas'!$A$4:$B$67,2))</f>
        <v>20ª VT Recife</v>
      </c>
      <c r="D17" s="15"/>
      <c r="E17" s="16"/>
      <c r="F17" s="15">
        <f>55+50+19</f>
        <v>124</v>
      </c>
      <c r="G17" s="15">
        <v>0</v>
      </c>
      <c r="H17" s="15">
        <v>0</v>
      </c>
      <c r="I17" s="17">
        <f>SUM(F17:H17)</f>
        <v>124</v>
      </c>
      <c r="J17" s="15">
        <v>54</v>
      </c>
      <c r="K17" s="15">
        <v>1</v>
      </c>
      <c r="L17" s="15">
        <v>13</v>
      </c>
      <c r="M17" s="15">
        <v>6</v>
      </c>
      <c r="N17" s="15">
        <v>0</v>
      </c>
      <c r="O17" s="15">
        <v>50</v>
      </c>
      <c r="P17" s="15">
        <f>SUM(J17:O17)</f>
        <v>124</v>
      </c>
      <c r="Q17" s="15">
        <v>0</v>
      </c>
      <c r="R17" s="15">
        <v>0</v>
      </c>
      <c r="S17" s="15">
        <v>0</v>
      </c>
      <c r="T17" s="15">
        <v>0</v>
      </c>
      <c r="U17" s="15">
        <v>216</v>
      </c>
      <c r="V17" s="18"/>
      <c r="W17" s="18"/>
      <c r="AB17" s="34"/>
    </row>
    <row r="18" spans="1:28" s="30" customFormat="1" ht="18.75" customHeight="1">
      <c r="A18" s="32"/>
      <c r="B18" s="123"/>
      <c r="C18" s="21" t="s">
        <v>12</v>
      </c>
      <c r="D18" s="33"/>
      <c r="E18" s="23"/>
      <c r="F18" s="24">
        <f>SUM(F16:F17)</f>
        <v>124</v>
      </c>
      <c r="G18" s="24">
        <f>SUM(G16:G17)</f>
        <v>0</v>
      </c>
      <c r="H18" s="24">
        <f>SUM(H16:H17)</f>
        <v>0</v>
      </c>
      <c r="I18" s="25">
        <f>SUM(F18:H18)</f>
        <v>124</v>
      </c>
      <c r="J18" s="24">
        <f aca="true" t="shared" si="3" ref="J18:O18">SUM(J16:J17)</f>
        <v>54</v>
      </c>
      <c r="K18" s="24">
        <f t="shared" si="3"/>
        <v>1</v>
      </c>
      <c r="L18" s="24">
        <f t="shared" si="3"/>
        <v>13</v>
      </c>
      <c r="M18" s="24">
        <f t="shared" si="3"/>
        <v>6</v>
      </c>
      <c r="N18" s="24">
        <f t="shared" si="3"/>
        <v>0</v>
      </c>
      <c r="O18" s="24">
        <f t="shared" si="3"/>
        <v>50</v>
      </c>
      <c r="P18" s="24">
        <f>SUM(J18:O18)</f>
        <v>124</v>
      </c>
      <c r="Q18" s="24">
        <f>SUM(Q16:Q17)</f>
        <v>0</v>
      </c>
      <c r="R18" s="24">
        <f>SUM(R16:R17)</f>
        <v>0</v>
      </c>
      <c r="S18" s="24">
        <f>SUM(S16:S17)</f>
        <v>0</v>
      </c>
      <c r="T18" s="24">
        <f>SUM(T16:T17)</f>
        <v>0</v>
      </c>
      <c r="U18" s="24">
        <f>SUM(U16:U17)</f>
        <v>216</v>
      </c>
      <c r="V18" s="26">
        <f>IF(I18-Q18=0,"",IF(D18="",(P18+S18)/(I18-Q18),IF(AND(D18&lt;&gt;"",(P18+S18)/(I18-Q18)&gt;=50%),(P18+S18)/(I18-Q18),"")))</f>
        <v>1</v>
      </c>
      <c r="W18" s="26">
        <f>IF(I18=O18,"",IF(V18="",0,(P18+Q18+S18-O18)/(I18-O18)))</f>
        <v>1</v>
      </c>
      <c r="AB18" s="34"/>
    </row>
    <row r="19" spans="1:28" s="30" customFormat="1" ht="18" customHeight="1">
      <c r="A19" s="32"/>
      <c r="B19" s="123" t="s">
        <v>28</v>
      </c>
      <c r="C19" s="14" t="s">
        <v>2</v>
      </c>
      <c r="D19" s="29"/>
      <c r="E19" s="16" t="s">
        <v>27</v>
      </c>
      <c r="F19" s="15"/>
      <c r="G19" s="15"/>
      <c r="H19" s="15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8"/>
      <c r="W19" s="18"/>
      <c r="AB19" s="34"/>
    </row>
    <row r="20" spans="1:28" s="30" customFormat="1" ht="17.25" customHeight="1">
      <c r="A20" s="32">
        <v>3</v>
      </c>
      <c r="B20" s="123"/>
      <c r="C20" s="20" t="str">
        <f>IF(A20="","VARA",VLOOKUP(A20,'[1]varas'!$A$4:$B$67,2))</f>
        <v>3ª VT Recife</v>
      </c>
      <c r="D20" s="29"/>
      <c r="E20" s="16"/>
      <c r="F20" s="15">
        <f>71+37+5+8</f>
        <v>121</v>
      </c>
      <c r="G20" s="15">
        <v>6</v>
      </c>
      <c r="H20" s="15">
        <v>7</v>
      </c>
      <c r="I20" s="17">
        <f>SUM(F20:H20)</f>
        <v>134</v>
      </c>
      <c r="J20" s="15">
        <v>45</v>
      </c>
      <c r="K20" s="15">
        <v>15</v>
      </c>
      <c r="L20" s="15">
        <v>5</v>
      </c>
      <c r="M20" s="15">
        <v>5</v>
      </c>
      <c r="N20" s="15">
        <v>0</v>
      </c>
      <c r="O20" s="15">
        <v>37</v>
      </c>
      <c r="P20" s="15">
        <f>SUM(J20:O20)</f>
        <v>107</v>
      </c>
      <c r="Q20" s="15">
        <v>13</v>
      </c>
      <c r="R20" s="15">
        <v>13</v>
      </c>
      <c r="S20" s="15">
        <v>0</v>
      </c>
      <c r="T20" s="15">
        <v>1</v>
      </c>
      <c r="U20" s="15">
        <v>128</v>
      </c>
      <c r="V20" s="18"/>
      <c r="W20" s="18"/>
      <c r="AB20" s="34"/>
    </row>
    <row r="21" spans="1:28" s="37" customFormat="1" ht="18" customHeight="1">
      <c r="A21" s="35"/>
      <c r="B21" s="123"/>
      <c r="C21" s="21" t="s">
        <v>12</v>
      </c>
      <c r="D21" s="33"/>
      <c r="E21" s="23"/>
      <c r="F21" s="24">
        <f>SUM(F19:F20)</f>
        <v>121</v>
      </c>
      <c r="G21" s="24">
        <f>SUM(G19:G20)</f>
        <v>6</v>
      </c>
      <c r="H21" s="24">
        <f>SUM(H19:H20)</f>
        <v>7</v>
      </c>
      <c r="I21" s="25">
        <f>SUM(F21:H21)</f>
        <v>134</v>
      </c>
      <c r="J21" s="24">
        <f aca="true" t="shared" si="4" ref="J21:O21">SUM(J19:J20)</f>
        <v>45</v>
      </c>
      <c r="K21" s="24">
        <f t="shared" si="4"/>
        <v>15</v>
      </c>
      <c r="L21" s="24">
        <f t="shared" si="4"/>
        <v>5</v>
      </c>
      <c r="M21" s="24">
        <f t="shared" si="4"/>
        <v>5</v>
      </c>
      <c r="N21" s="24">
        <f t="shared" si="4"/>
        <v>0</v>
      </c>
      <c r="O21" s="24">
        <f t="shared" si="4"/>
        <v>37</v>
      </c>
      <c r="P21" s="24">
        <f>SUM(J21:O21)</f>
        <v>107</v>
      </c>
      <c r="Q21" s="24">
        <f>SUM(Q19:Q20)</f>
        <v>13</v>
      </c>
      <c r="R21" s="24">
        <f>SUM(R19:R20)</f>
        <v>13</v>
      </c>
      <c r="S21" s="24">
        <f>SUM(S19:S20)</f>
        <v>0</v>
      </c>
      <c r="T21" s="24">
        <f>SUM(T19:T20)</f>
        <v>1</v>
      </c>
      <c r="U21" s="24">
        <f>SUM(U19:U20)</f>
        <v>128</v>
      </c>
      <c r="V21" s="26">
        <f>IF(I21-Q21=0,"",IF(D21="",(P21+S21)/(I21-Q21),IF(AND(D21&lt;&gt;"",(P21+S21)/(I21-Q21)&gt;=50%),(P21+S21)/(I21-Q21),"")))</f>
        <v>0.8842975206611571</v>
      </c>
      <c r="W21" s="26">
        <f>IF(I21=O21,"",IF(V21="",0,(P21+Q21+S21-O21)/(I21-O21)))</f>
        <v>0.8556701030927835</v>
      </c>
      <c r="X21" s="36"/>
      <c r="AB21" s="38"/>
    </row>
    <row r="22" spans="1:28" s="30" customFormat="1" ht="21" customHeight="1">
      <c r="A22" s="32"/>
      <c r="B22" s="123" t="s">
        <v>29</v>
      </c>
      <c r="C22" s="14" t="s">
        <v>2</v>
      </c>
      <c r="D22" s="29"/>
      <c r="E22" s="16" t="s">
        <v>27</v>
      </c>
      <c r="F22" s="15"/>
      <c r="G22" s="15"/>
      <c r="H22" s="15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8"/>
      <c r="W22" s="18"/>
      <c r="AB22" s="34"/>
    </row>
    <row r="23" spans="1:28" s="30" customFormat="1" ht="18" customHeight="1">
      <c r="A23" s="32">
        <v>70</v>
      </c>
      <c r="B23" s="123"/>
      <c r="C23" s="20" t="s">
        <v>179</v>
      </c>
      <c r="D23" s="15"/>
      <c r="E23" s="16"/>
      <c r="F23" s="15">
        <v>0</v>
      </c>
      <c r="G23" s="15">
        <v>0</v>
      </c>
      <c r="H23" s="15">
        <v>0</v>
      </c>
      <c r="I23" s="17">
        <f>SUM(F23:H23)</f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>SUM(J23:O23)</f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8"/>
      <c r="W23" s="18"/>
      <c r="AB23" s="34"/>
    </row>
    <row r="24" spans="1:41" s="39" customFormat="1" ht="17.25" customHeight="1">
      <c r="A24" s="32"/>
      <c r="B24" s="123"/>
      <c r="C24" s="21" t="s">
        <v>12</v>
      </c>
      <c r="D24" s="33"/>
      <c r="E24" s="23"/>
      <c r="F24" s="24">
        <f>SUM(F22:F23)</f>
        <v>0</v>
      </c>
      <c r="G24" s="24">
        <f>SUM(G22:G23)</f>
        <v>0</v>
      </c>
      <c r="H24" s="24">
        <f>SUM(H22:H23)</f>
        <v>0</v>
      </c>
      <c r="I24" s="25">
        <f>SUM(F24:H24)</f>
        <v>0</v>
      </c>
      <c r="J24" s="24">
        <f aca="true" t="shared" si="5" ref="J24:O24">SUM(J22:J23)</f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24">
        <f t="shared" si="5"/>
        <v>0</v>
      </c>
      <c r="P24" s="24">
        <f>SUM(J24:O24)</f>
        <v>0</v>
      </c>
      <c r="Q24" s="24">
        <f>SUM(Q22:Q23)</f>
        <v>0</v>
      </c>
      <c r="R24" s="24">
        <f>SUM(R22:R23)</f>
        <v>0</v>
      </c>
      <c r="S24" s="24">
        <f>SUM(S22:S23)</f>
        <v>0</v>
      </c>
      <c r="T24" s="24">
        <f>SUM(T22:T23)</f>
        <v>0</v>
      </c>
      <c r="U24" s="24">
        <f>SUM(U22:U23)</f>
        <v>0</v>
      </c>
      <c r="V24" s="26">
        <f>IF(I24-Q24=0,"",IF(D24="",(P24+S24)/(I24-Q24),IF(AND(D24&lt;&gt;"",(P24+S24)/(I24-Q24)&gt;=50%),(P24+S24)/(I24-Q24),"")))</f>
      </c>
      <c r="W24" s="26">
        <f>IF(I24=O24,"",IF(V24="",0,(P24+Q24+S24-O24)/(I24-O24)))</f>
      </c>
      <c r="X24" s="30"/>
      <c r="Y24" s="30"/>
      <c r="Z24" s="30"/>
      <c r="AA24" s="30"/>
      <c r="AB24" s="3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28" s="30" customFormat="1" ht="24" customHeight="1">
      <c r="A25" s="32"/>
      <c r="B25" s="123" t="s">
        <v>31</v>
      </c>
      <c r="C25" s="14" t="s">
        <v>2</v>
      </c>
      <c r="D25" s="29" t="s">
        <v>165</v>
      </c>
      <c r="E25" s="16" t="s">
        <v>205</v>
      </c>
      <c r="F25" s="15"/>
      <c r="G25" s="15"/>
      <c r="H25" s="15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8"/>
      <c r="W25" s="18"/>
      <c r="AB25" s="34"/>
    </row>
    <row r="26" spans="1:28" s="30" customFormat="1" ht="19.5" customHeight="1">
      <c r="A26" s="32">
        <v>61</v>
      </c>
      <c r="B26" s="123"/>
      <c r="C26" s="20" t="str">
        <f>IF(A26="","VARA",VLOOKUP(A26,'[1]varas'!$A$4:$B$67,2))</f>
        <v>VT Vitória</v>
      </c>
      <c r="D26" s="15"/>
      <c r="E26" s="17"/>
      <c r="F26" s="15">
        <f>16+7+10</f>
        <v>33</v>
      </c>
      <c r="G26" s="15">
        <v>0</v>
      </c>
      <c r="H26" s="15">
        <v>0</v>
      </c>
      <c r="I26" s="17">
        <f>SUM(F26:H26)</f>
        <v>33</v>
      </c>
      <c r="J26" s="15">
        <v>11</v>
      </c>
      <c r="K26" s="15">
        <v>5</v>
      </c>
      <c r="L26" s="15">
        <v>10</v>
      </c>
      <c r="M26" s="15">
        <v>0</v>
      </c>
      <c r="N26" s="15">
        <v>0</v>
      </c>
      <c r="O26" s="15">
        <v>7</v>
      </c>
      <c r="P26" s="15">
        <f>SUM(J26:O26)</f>
        <v>33</v>
      </c>
      <c r="Q26" s="15">
        <v>0</v>
      </c>
      <c r="R26" s="15">
        <v>0</v>
      </c>
      <c r="S26" s="15">
        <v>0</v>
      </c>
      <c r="T26" s="15">
        <v>0</v>
      </c>
      <c r="U26" s="15">
        <v>39</v>
      </c>
      <c r="V26" s="18"/>
      <c r="W26" s="18"/>
      <c r="AB26" s="34"/>
    </row>
    <row r="27" spans="1:28" s="30" customFormat="1" ht="16.5" customHeight="1">
      <c r="A27" s="32"/>
      <c r="B27" s="123"/>
      <c r="C27" s="21" t="s">
        <v>12</v>
      </c>
      <c r="D27" s="33"/>
      <c r="E27" s="23"/>
      <c r="F27" s="24">
        <f>SUM(F25:F26)</f>
        <v>33</v>
      </c>
      <c r="G27" s="24">
        <f>SUM(G25:G26)</f>
        <v>0</v>
      </c>
      <c r="H27" s="24">
        <f>SUM(H25:H26)</f>
        <v>0</v>
      </c>
      <c r="I27" s="25">
        <f>SUM(F27:H27)</f>
        <v>33</v>
      </c>
      <c r="J27" s="24">
        <f aca="true" t="shared" si="6" ref="J27:O27">SUM(J25:J26)</f>
        <v>11</v>
      </c>
      <c r="K27" s="24">
        <f t="shared" si="6"/>
        <v>5</v>
      </c>
      <c r="L27" s="24">
        <f t="shared" si="6"/>
        <v>10</v>
      </c>
      <c r="M27" s="24">
        <f t="shared" si="6"/>
        <v>0</v>
      </c>
      <c r="N27" s="24">
        <f t="shared" si="6"/>
        <v>0</v>
      </c>
      <c r="O27" s="24">
        <f t="shared" si="6"/>
        <v>7</v>
      </c>
      <c r="P27" s="24">
        <f>SUM(J27:O27)</f>
        <v>33</v>
      </c>
      <c r="Q27" s="24">
        <f>SUM(Q25:Q26)</f>
        <v>0</v>
      </c>
      <c r="R27" s="24">
        <f>SUM(R25:R26)</f>
        <v>0</v>
      </c>
      <c r="S27" s="24">
        <f>SUM(S25:S26)</f>
        <v>0</v>
      </c>
      <c r="T27" s="24">
        <f>SUM(T25:T26)</f>
        <v>0</v>
      </c>
      <c r="U27" s="24">
        <f>SUM(U25:U26)</f>
        <v>39</v>
      </c>
      <c r="V27" s="26">
        <f>IF(I27-Q27=0,"",IF(D27="",(P27+S27)/(I27-Q27),IF(AND(D27&lt;&gt;"",(P27+S27)/(I27-Q27)&gt;=50%),(P27+S27)/(I27-Q27),"")))</f>
        <v>1</v>
      </c>
      <c r="W27" s="26">
        <f>IF(I27=O27,"",IF(V27="",0,(P27+Q27+S27-O27)/(I27-O27)))</f>
        <v>1</v>
      </c>
      <c r="AB27" s="34"/>
    </row>
    <row r="28" spans="1:41" s="39" customFormat="1" ht="18.75" customHeight="1">
      <c r="A28" s="32"/>
      <c r="B28" s="123" t="s">
        <v>32</v>
      </c>
      <c r="C28" s="14" t="s">
        <v>2</v>
      </c>
      <c r="D28" s="29" t="s">
        <v>30</v>
      </c>
      <c r="E28" s="16" t="s">
        <v>204</v>
      </c>
      <c r="F28" s="15"/>
      <c r="G28" s="15"/>
      <c r="H28" s="15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9" customFormat="1" ht="18.75" customHeight="1">
      <c r="A29" s="32">
        <v>14</v>
      </c>
      <c r="B29" s="123"/>
      <c r="C29" s="20" t="str">
        <f>IF(A29="","VARA",VLOOKUP(A29,'[1]varas'!$A$4:$B$67,2))</f>
        <v>14ª VT Recife</v>
      </c>
      <c r="D29" s="29"/>
      <c r="E29" s="16"/>
      <c r="F29" s="15">
        <v>0</v>
      </c>
      <c r="G29" s="15">
        <v>2</v>
      </c>
      <c r="H29" s="15">
        <v>0</v>
      </c>
      <c r="I29" s="17">
        <f>SUM(F29:H29)</f>
        <v>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>SUM(J29:O29)</f>
        <v>0</v>
      </c>
      <c r="Q29" s="15">
        <v>2</v>
      </c>
      <c r="R29" s="15">
        <v>0</v>
      </c>
      <c r="S29" s="15">
        <v>0</v>
      </c>
      <c r="T29" s="15">
        <v>0</v>
      </c>
      <c r="U29" s="15">
        <v>0</v>
      </c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9" customFormat="1" ht="17.25" customHeight="1">
      <c r="A30" s="32">
        <v>16</v>
      </c>
      <c r="B30" s="123"/>
      <c r="C30" s="20" t="str">
        <f>IF(A30="","VARA",VLOOKUP(A30,'[1]varas'!$A$4:$B$67,2))</f>
        <v>16ª VT Recife</v>
      </c>
      <c r="D30" s="29"/>
      <c r="E30" s="16"/>
      <c r="F30" s="15">
        <v>2</v>
      </c>
      <c r="G30" s="15">
        <v>17</v>
      </c>
      <c r="H30" s="15">
        <v>54</v>
      </c>
      <c r="I30" s="17">
        <f>SUM(F30:H30)</f>
        <v>73</v>
      </c>
      <c r="J30" s="15">
        <v>41</v>
      </c>
      <c r="K30" s="15">
        <v>1</v>
      </c>
      <c r="L30" s="15">
        <v>0</v>
      </c>
      <c r="M30" s="15">
        <v>1</v>
      </c>
      <c r="N30" s="15">
        <v>0</v>
      </c>
      <c r="O30" s="15">
        <v>0</v>
      </c>
      <c r="P30" s="15">
        <f>SUM(J30:O30)</f>
        <v>43</v>
      </c>
      <c r="Q30" s="15">
        <v>3</v>
      </c>
      <c r="R30" s="15">
        <v>26</v>
      </c>
      <c r="S30" s="15">
        <v>0</v>
      </c>
      <c r="T30" s="15">
        <v>1</v>
      </c>
      <c r="U30" s="15">
        <v>0</v>
      </c>
      <c r="V30" s="18"/>
      <c r="W30" s="18"/>
      <c r="X30" s="30"/>
      <c r="Y30" s="30"/>
      <c r="Z30" s="30"/>
      <c r="AA30" s="30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28" s="30" customFormat="1" ht="18.75" customHeight="1">
      <c r="A31" s="32"/>
      <c r="B31" s="123"/>
      <c r="C31" s="21" t="s">
        <v>12</v>
      </c>
      <c r="D31" s="33"/>
      <c r="E31" s="23"/>
      <c r="F31" s="24">
        <f>SUM(F28:F30)</f>
        <v>2</v>
      </c>
      <c r="G31" s="24">
        <f>SUM(G28:G30)</f>
        <v>19</v>
      </c>
      <c r="H31" s="24">
        <f>SUM(H28:H30)</f>
        <v>54</v>
      </c>
      <c r="I31" s="40">
        <f>SUM(F31:H31)</f>
        <v>75</v>
      </c>
      <c r="J31" s="24">
        <f aca="true" t="shared" si="7" ref="J31:O31">SUM(J28:J30)</f>
        <v>41</v>
      </c>
      <c r="K31" s="24">
        <f t="shared" si="7"/>
        <v>1</v>
      </c>
      <c r="L31" s="24">
        <f t="shared" si="7"/>
        <v>0</v>
      </c>
      <c r="M31" s="24">
        <f t="shared" si="7"/>
        <v>1</v>
      </c>
      <c r="N31" s="24">
        <f t="shared" si="7"/>
        <v>0</v>
      </c>
      <c r="O31" s="24">
        <f t="shared" si="7"/>
        <v>0</v>
      </c>
      <c r="P31" s="24">
        <f>SUM(J31:O31)</f>
        <v>43</v>
      </c>
      <c r="Q31" s="24">
        <f>SUM(Q28:Q30)</f>
        <v>5</v>
      </c>
      <c r="R31" s="24">
        <f>SUM(R28:R30)</f>
        <v>26</v>
      </c>
      <c r="S31" s="24">
        <f>SUM(S28:S30)</f>
        <v>0</v>
      </c>
      <c r="T31" s="24">
        <f>SUM(T28:T30)</f>
        <v>1</v>
      </c>
      <c r="U31" s="24">
        <f>SUM(U28:U30)</f>
        <v>0</v>
      </c>
      <c r="V31" s="26">
        <f>IF(I31-Q31=0,"",IF(D31="",(P31+S31)/(I31-Q31),IF(AND(D31&lt;&gt;"",(P31+S31)/(I31-Q31)&gt;=50%),(P31+S31)/(I31-Q31),"")))</f>
        <v>0.6142857142857143</v>
      </c>
      <c r="W31" s="26">
        <f>IF(I31=O31,"",IF(V31="",0,(P31+Q31+S31-O31)/(I31-O31)))</f>
        <v>0.64</v>
      </c>
      <c r="AB31" s="34"/>
    </row>
    <row r="32" spans="1:28" s="30" customFormat="1" ht="21.75" customHeight="1">
      <c r="A32" s="32"/>
      <c r="B32" s="128" t="s">
        <v>33</v>
      </c>
      <c r="C32" s="105" t="s">
        <v>2</v>
      </c>
      <c r="D32" s="15" t="s">
        <v>165</v>
      </c>
      <c r="E32" s="17" t="s">
        <v>192</v>
      </c>
      <c r="F32" s="15"/>
      <c r="G32" s="15"/>
      <c r="H32" s="15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8"/>
      <c r="W32" s="18"/>
      <c r="AB32" s="34"/>
    </row>
    <row r="33" spans="1:28" s="30" customFormat="1" ht="19.5" customHeight="1">
      <c r="A33" s="32">
        <v>37</v>
      </c>
      <c r="B33" s="129"/>
      <c r="C33" s="106" t="str">
        <f>IF(A33="","VARA",VLOOKUP(A33,'[1]varas'!$A$4:$B$67,2))</f>
        <v>4ª VT Jaboatão</v>
      </c>
      <c r="D33" s="15"/>
      <c r="E33" s="17"/>
      <c r="F33" s="15">
        <f>27+34+3</f>
        <v>64</v>
      </c>
      <c r="G33" s="15">
        <v>0</v>
      </c>
      <c r="H33" s="15">
        <v>0</v>
      </c>
      <c r="I33" s="17">
        <f>SUM(F33:H33)</f>
        <v>64</v>
      </c>
      <c r="J33" s="15">
        <v>9</v>
      </c>
      <c r="K33" s="15">
        <v>7</v>
      </c>
      <c r="L33" s="15">
        <v>1</v>
      </c>
      <c r="M33" s="15">
        <v>2</v>
      </c>
      <c r="N33" s="15">
        <v>0</v>
      </c>
      <c r="O33" s="15">
        <v>34</v>
      </c>
      <c r="P33" s="15">
        <f>SUM(J33:O33)</f>
        <v>53</v>
      </c>
      <c r="Q33" s="15">
        <v>11</v>
      </c>
      <c r="R33" s="15">
        <v>0</v>
      </c>
      <c r="S33" s="15">
        <v>0</v>
      </c>
      <c r="T33" s="15">
        <v>0</v>
      </c>
      <c r="U33" s="15">
        <v>107</v>
      </c>
      <c r="V33" s="18"/>
      <c r="W33" s="18"/>
      <c r="AB33" s="34"/>
    </row>
    <row r="34" spans="1:28" s="30" customFormat="1" ht="17.25" customHeight="1">
      <c r="A34" s="32"/>
      <c r="B34" s="130"/>
      <c r="C34" s="107" t="s">
        <v>12</v>
      </c>
      <c r="D34" s="33"/>
      <c r="E34" s="23"/>
      <c r="F34" s="24">
        <f>SUM(F32:F33)</f>
        <v>64</v>
      </c>
      <c r="G34" s="24">
        <f>SUM(G32:G33)</f>
        <v>0</v>
      </c>
      <c r="H34" s="24">
        <f>SUM(H32:H33)</f>
        <v>0</v>
      </c>
      <c r="I34" s="25">
        <f>SUM(F34:H34)</f>
        <v>64</v>
      </c>
      <c r="J34" s="24">
        <f aca="true" t="shared" si="8" ref="J34:O34">SUM(J32:J33)</f>
        <v>9</v>
      </c>
      <c r="K34" s="24">
        <f t="shared" si="8"/>
        <v>7</v>
      </c>
      <c r="L34" s="24">
        <f t="shared" si="8"/>
        <v>1</v>
      </c>
      <c r="M34" s="24">
        <f t="shared" si="8"/>
        <v>2</v>
      </c>
      <c r="N34" s="24">
        <f t="shared" si="8"/>
        <v>0</v>
      </c>
      <c r="O34" s="24">
        <f t="shared" si="8"/>
        <v>34</v>
      </c>
      <c r="P34" s="24">
        <f>SUM(J34:O34)</f>
        <v>53</v>
      </c>
      <c r="Q34" s="24">
        <f>SUM(Q32:Q33)</f>
        <v>11</v>
      </c>
      <c r="R34" s="24">
        <f>SUM(R32:R33)</f>
        <v>0</v>
      </c>
      <c r="S34" s="24">
        <f>SUM(S32:S33)</f>
        <v>0</v>
      </c>
      <c r="T34" s="24">
        <f>SUM(T32:T33)</f>
        <v>0</v>
      </c>
      <c r="U34" s="24">
        <f>SUM(U32:U33)</f>
        <v>107</v>
      </c>
      <c r="V34" s="26">
        <f>IF(I34-Q34=0,"",IF(D34="",(P34+S34)/(I34-Q34),IF(AND(D34&lt;&gt;"",(P34+S34)/(I34-Q34)&gt;=50%),(P34+S34)/(I34-Q34),"")))</f>
        <v>1</v>
      </c>
      <c r="W34" s="26">
        <f>IF(I34=O34,"",IF(V34="",0,(P34+Q34+S34-O34)/(I34-O34)))</f>
        <v>1</v>
      </c>
      <c r="AB34" s="34"/>
    </row>
    <row r="35" spans="1:28" s="30" customFormat="1" ht="23.25" customHeight="1">
      <c r="A35" s="32"/>
      <c r="B35" s="127" t="s">
        <v>34</v>
      </c>
      <c r="C35" s="14" t="s">
        <v>2</v>
      </c>
      <c r="D35" s="29" t="s">
        <v>206</v>
      </c>
      <c r="E35" s="41" t="s">
        <v>207</v>
      </c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/>
      <c r="W35" s="18"/>
      <c r="AB35" s="34"/>
    </row>
    <row r="36" spans="1:28" s="30" customFormat="1" ht="17.25" customHeight="1">
      <c r="A36" s="32">
        <v>53</v>
      </c>
      <c r="B36" s="123"/>
      <c r="C36" s="20" t="str">
        <f>IF(A36="","VARA",VLOOKUP(A36,'[1]varas'!$A$4:$B$67,2))</f>
        <v>VT Nazaré</v>
      </c>
      <c r="D36" s="15"/>
      <c r="E36" s="41"/>
      <c r="F36" s="15">
        <f>39+43</f>
        <v>82</v>
      </c>
      <c r="G36" s="15">
        <v>0</v>
      </c>
      <c r="H36" s="15">
        <v>0</v>
      </c>
      <c r="I36" s="17">
        <f>SUM(F36:H36)</f>
        <v>82</v>
      </c>
      <c r="J36" s="15">
        <v>9</v>
      </c>
      <c r="K36" s="15">
        <v>28</v>
      </c>
      <c r="L36" s="15">
        <v>1</v>
      </c>
      <c r="M36" s="15">
        <v>0</v>
      </c>
      <c r="N36" s="15">
        <v>0</v>
      </c>
      <c r="O36" s="15">
        <v>42</v>
      </c>
      <c r="P36" s="15">
        <f>SUM(J36:O36)</f>
        <v>80</v>
      </c>
      <c r="Q36" s="15">
        <v>2</v>
      </c>
      <c r="R36" s="15">
        <v>0</v>
      </c>
      <c r="S36" s="15">
        <v>0</v>
      </c>
      <c r="T36" s="15">
        <v>0</v>
      </c>
      <c r="U36" s="15">
        <v>202</v>
      </c>
      <c r="V36" s="18"/>
      <c r="W36" s="18"/>
      <c r="AB36" s="34"/>
    </row>
    <row r="37" spans="1:28" s="30" customFormat="1" ht="17.25" customHeight="1">
      <c r="A37" s="32"/>
      <c r="B37" s="123"/>
      <c r="C37" s="20" t="s">
        <v>12</v>
      </c>
      <c r="D37" s="33"/>
      <c r="E37" s="23"/>
      <c r="F37" s="24">
        <f>SUM(F35:F36)</f>
        <v>82</v>
      </c>
      <c r="G37" s="24">
        <f>SUM(G35:G36)</f>
        <v>0</v>
      </c>
      <c r="H37" s="24">
        <f>SUM(H35:H36)</f>
        <v>0</v>
      </c>
      <c r="I37" s="40">
        <f>SUM(F37:H37)</f>
        <v>82</v>
      </c>
      <c r="J37" s="24">
        <f aca="true" t="shared" si="9" ref="J37:O37">SUM(J35:J36)</f>
        <v>9</v>
      </c>
      <c r="K37" s="24">
        <f t="shared" si="9"/>
        <v>28</v>
      </c>
      <c r="L37" s="24">
        <f t="shared" si="9"/>
        <v>1</v>
      </c>
      <c r="M37" s="24">
        <f t="shared" si="9"/>
        <v>0</v>
      </c>
      <c r="N37" s="24">
        <f t="shared" si="9"/>
        <v>0</v>
      </c>
      <c r="O37" s="24">
        <f t="shared" si="9"/>
        <v>42</v>
      </c>
      <c r="P37" s="24">
        <f>SUM(J37:O37)</f>
        <v>80</v>
      </c>
      <c r="Q37" s="24">
        <f>SUM(Q35:Q36)</f>
        <v>2</v>
      </c>
      <c r="R37" s="24">
        <f>SUM(R35:R36)</f>
        <v>0</v>
      </c>
      <c r="S37" s="24">
        <f>SUM(S35:S36)</f>
        <v>0</v>
      </c>
      <c r="T37" s="24">
        <f>SUM(T35:T36)</f>
        <v>0</v>
      </c>
      <c r="U37" s="24">
        <f>SUM(U35:U36)</f>
        <v>202</v>
      </c>
      <c r="V37" s="26">
        <f>IF(I37-Q37=0,"",IF(D37="",(P37+S37)/(I37-Q37),IF(AND(D37&lt;&gt;"",(P37+S37)/(I37-Q37)&gt;=50%),(P37+S37)/(I37-Q37),"")))</f>
        <v>1</v>
      </c>
      <c r="W37" s="26">
        <f>IF(I37=O37,"",IF(V37="",0,(P37+Q37+S37-O37)/(I37-O37)))</f>
        <v>1</v>
      </c>
      <c r="AB37" s="34"/>
    </row>
    <row r="38" spans="1:28" s="30" customFormat="1" ht="18" customHeight="1">
      <c r="A38" s="32"/>
      <c r="B38" s="123" t="s">
        <v>170</v>
      </c>
      <c r="C38" s="14" t="s">
        <v>2</v>
      </c>
      <c r="D38" s="42" t="s">
        <v>30</v>
      </c>
      <c r="E38" s="16" t="s">
        <v>208</v>
      </c>
      <c r="F38" s="15"/>
      <c r="G38" s="15"/>
      <c r="H38" s="15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/>
      <c r="W38" s="18"/>
      <c r="AB38" s="34"/>
    </row>
    <row r="39" spans="1:28" s="30" customFormat="1" ht="18" customHeight="1">
      <c r="A39" s="32">
        <v>30</v>
      </c>
      <c r="B39" s="123"/>
      <c r="C39" s="20" t="str">
        <f>IF(A39="","VARA",VLOOKUP(A39,'[1]varas'!$A$4:$B$67,2))</f>
        <v>3ª VT Caruaru</v>
      </c>
      <c r="D39" s="43"/>
      <c r="E39" s="16"/>
      <c r="F39" s="15">
        <f>48+29+11</f>
        <v>88</v>
      </c>
      <c r="G39" s="15">
        <v>0</v>
      </c>
      <c r="H39" s="15">
        <v>4</v>
      </c>
      <c r="I39" s="17">
        <f>SUM(F39:H39)</f>
        <v>92</v>
      </c>
      <c r="J39" s="15">
        <v>31</v>
      </c>
      <c r="K39" s="15">
        <v>4</v>
      </c>
      <c r="L39" s="15">
        <v>9</v>
      </c>
      <c r="M39" s="15">
        <v>2</v>
      </c>
      <c r="N39" s="15">
        <v>0</v>
      </c>
      <c r="O39" s="15">
        <v>29</v>
      </c>
      <c r="P39" s="15">
        <f>SUM(J39:O39)</f>
        <v>75</v>
      </c>
      <c r="Q39" s="15">
        <v>12</v>
      </c>
      <c r="R39" s="15">
        <v>5</v>
      </c>
      <c r="S39" s="15">
        <v>0</v>
      </c>
      <c r="T39" s="15">
        <v>0</v>
      </c>
      <c r="U39" s="15">
        <v>174</v>
      </c>
      <c r="V39" s="18"/>
      <c r="W39" s="18"/>
      <c r="AB39" s="34"/>
    </row>
    <row r="40" spans="1:41" s="39" customFormat="1" ht="19.5" customHeight="1">
      <c r="A40" s="32"/>
      <c r="B40" s="123"/>
      <c r="C40" s="21" t="s">
        <v>12</v>
      </c>
      <c r="D40" s="33"/>
      <c r="E40" s="23"/>
      <c r="F40" s="24">
        <f>SUM(F38:F39)</f>
        <v>88</v>
      </c>
      <c r="G40" s="24">
        <f>SUM(G38:G39)</f>
        <v>0</v>
      </c>
      <c r="H40" s="24">
        <f>SUM(H38:H39)</f>
        <v>4</v>
      </c>
      <c r="I40" s="25">
        <f>SUM(F40:H40)</f>
        <v>92</v>
      </c>
      <c r="J40" s="24">
        <f aca="true" t="shared" si="10" ref="J40:O40">SUM(J38:J39)</f>
        <v>31</v>
      </c>
      <c r="K40" s="24">
        <f t="shared" si="10"/>
        <v>4</v>
      </c>
      <c r="L40" s="24">
        <f t="shared" si="10"/>
        <v>9</v>
      </c>
      <c r="M40" s="24">
        <f t="shared" si="10"/>
        <v>2</v>
      </c>
      <c r="N40" s="24">
        <f t="shared" si="10"/>
        <v>0</v>
      </c>
      <c r="O40" s="24">
        <f t="shared" si="10"/>
        <v>29</v>
      </c>
      <c r="P40" s="24">
        <f>SUM(J40:O40)</f>
        <v>75</v>
      </c>
      <c r="Q40" s="24">
        <f>SUM(Q38:Q39)</f>
        <v>12</v>
      </c>
      <c r="R40" s="24">
        <f>SUM(R38:R39)</f>
        <v>5</v>
      </c>
      <c r="S40" s="24">
        <f>SUM(S38:S39)</f>
        <v>0</v>
      </c>
      <c r="T40" s="24">
        <f>SUM(T38:T39)</f>
        <v>0</v>
      </c>
      <c r="U40" s="24">
        <f>SUM(U38:U39)</f>
        <v>174</v>
      </c>
      <c r="V40" s="26">
        <f>IF(I40-Q40=0,"",IF(D40="",(P40+S40)/(I40-Q40),IF(AND(D40&lt;&gt;"",(P40+S40)/(I40-Q40)&gt;=50%),(P40+S40)/(I40-Q40),"")))</f>
        <v>0.9375</v>
      </c>
      <c r="W40" s="26">
        <f>IF(I40=O40,"",IF(V40="",0,(P40+Q40+S40-O40)/(I40-O40)))</f>
        <v>0.9206349206349206</v>
      </c>
      <c r="X40" s="30"/>
      <c r="Y40" s="30"/>
      <c r="Z40" s="30"/>
      <c r="AA40" s="30"/>
      <c r="AB40" s="34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28" s="30" customFormat="1" ht="20.25" customHeight="1">
      <c r="A41" s="32"/>
      <c r="B41" s="123" t="s">
        <v>35</v>
      </c>
      <c r="C41" s="14" t="s">
        <v>2</v>
      </c>
      <c r="D41" s="29"/>
      <c r="E41" s="16" t="s">
        <v>27</v>
      </c>
      <c r="F41" s="15"/>
      <c r="G41" s="15"/>
      <c r="H41" s="15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8"/>
      <c r="W41" s="18"/>
      <c r="AB41" s="34"/>
    </row>
    <row r="42" spans="1:28" s="30" customFormat="1" ht="16.5" customHeight="1">
      <c r="A42" s="32">
        <v>10</v>
      </c>
      <c r="B42" s="123"/>
      <c r="C42" s="20" t="str">
        <f>IF(A42="","VARA",VLOOKUP(A42,'[1]varas'!$A$4:$B$67,2))</f>
        <v>10ª VT Recife</v>
      </c>
      <c r="D42" s="15"/>
      <c r="E42" s="17"/>
      <c r="F42" s="15">
        <f>47+34+3</f>
        <v>84</v>
      </c>
      <c r="G42" s="15">
        <v>0</v>
      </c>
      <c r="H42" s="15">
        <v>55</v>
      </c>
      <c r="I42" s="17">
        <f>SUM(F42:H42)</f>
        <v>139</v>
      </c>
      <c r="J42" s="15">
        <v>35</v>
      </c>
      <c r="K42" s="15">
        <v>16</v>
      </c>
      <c r="L42" s="15">
        <v>2</v>
      </c>
      <c r="M42" s="15">
        <v>1</v>
      </c>
      <c r="N42" s="15">
        <v>0</v>
      </c>
      <c r="O42" s="15">
        <v>34</v>
      </c>
      <c r="P42" s="15">
        <f>SUM(J42:O42)</f>
        <v>88</v>
      </c>
      <c r="Q42" s="15">
        <v>0</v>
      </c>
      <c r="R42" s="15">
        <v>51</v>
      </c>
      <c r="S42" s="15">
        <v>0</v>
      </c>
      <c r="T42" s="15">
        <v>0</v>
      </c>
      <c r="U42" s="15">
        <v>152</v>
      </c>
      <c r="V42" s="18"/>
      <c r="W42" s="18"/>
      <c r="AB42" s="34"/>
    </row>
    <row r="43" spans="1:28" s="30" customFormat="1" ht="15.75" customHeight="1">
      <c r="A43" s="32"/>
      <c r="B43" s="123"/>
      <c r="C43" s="21" t="s">
        <v>12</v>
      </c>
      <c r="D43" s="33"/>
      <c r="E43" s="23"/>
      <c r="F43" s="24">
        <f>SUM(F41:F42)</f>
        <v>84</v>
      </c>
      <c r="G43" s="24">
        <f>SUM(G41:G42)</f>
        <v>0</v>
      </c>
      <c r="H43" s="24">
        <f>SUM(H41:H42)</f>
        <v>55</v>
      </c>
      <c r="I43" s="25">
        <f>SUM(F43:H43)</f>
        <v>139</v>
      </c>
      <c r="J43" s="24">
        <f aca="true" t="shared" si="11" ref="J43:O43">SUM(J41:J42)</f>
        <v>35</v>
      </c>
      <c r="K43" s="24">
        <f t="shared" si="11"/>
        <v>16</v>
      </c>
      <c r="L43" s="24">
        <f t="shared" si="11"/>
        <v>2</v>
      </c>
      <c r="M43" s="24">
        <f t="shared" si="11"/>
        <v>1</v>
      </c>
      <c r="N43" s="24">
        <f t="shared" si="11"/>
        <v>0</v>
      </c>
      <c r="O43" s="24">
        <f t="shared" si="11"/>
        <v>34</v>
      </c>
      <c r="P43" s="24">
        <f>SUM(J43:O43)</f>
        <v>88</v>
      </c>
      <c r="Q43" s="24">
        <f>SUM(Q41:Q42)</f>
        <v>0</v>
      </c>
      <c r="R43" s="24">
        <f>SUM(R41:R42)</f>
        <v>51</v>
      </c>
      <c r="S43" s="24">
        <f>SUM(S41:S42)</f>
        <v>0</v>
      </c>
      <c r="T43" s="24">
        <f>SUM(T41:T42)</f>
        <v>0</v>
      </c>
      <c r="U43" s="24">
        <f>SUM(U41:U42)</f>
        <v>152</v>
      </c>
      <c r="V43" s="26">
        <f>IF(I43-Q43=0,"",IF(D43="",(P43+S43)/(I43-Q43),IF(AND(D43&lt;&gt;"",(P43+S43)/(I43-Q43)&gt;=50%),(P43+S43)/(I43-Q43),"")))</f>
        <v>0.6330935251798561</v>
      </c>
      <c r="W43" s="26">
        <f>IF(I43=O43,"",IF(V43="",0,(P43+Q43+S43-O43)/(I43-O43)))</f>
        <v>0.5142857142857142</v>
      </c>
      <c r="AB43" s="34"/>
    </row>
    <row r="44" spans="1:41" s="39" customFormat="1" ht="21" customHeight="1">
      <c r="A44" s="32"/>
      <c r="B44" s="123" t="s">
        <v>36</v>
      </c>
      <c r="C44" s="14" t="s">
        <v>2</v>
      </c>
      <c r="D44" s="29"/>
      <c r="E44" s="16" t="s">
        <v>27</v>
      </c>
      <c r="F44" s="15"/>
      <c r="G44" s="15"/>
      <c r="H44" s="15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8"/>
      <c r="W44" s="18"/>
      <c r="X44" s="30"/>
      <c r="Y44" s="30"/>
      <c r="Z44" s="30"/>
      <c r="AA44" s="30"/>
      <c r="AB44" s="34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9" customFormat="1" ht="18.75" customHeight="1">
      <c r="A45" s="32">
        <v>6</v>
      </c>
      <c r="B45" s="123"/>
      <c r="C45" s="20" t="str">
        <f>IF(A45="","VARA",VLOOKUP(A45,'[1]varas'!$A$4:$B$67,2))</f>
        <v>6ª VT Recife</v>
      </c>
      <c r="D45" s="15"/>
      <c r="E45" s="16"/>
      <c r="F45" s="15">
        <v>0</v>
      </c>
      <c r="G45" s="15">
        <v>0</v>
      </c>
      <c r="H45" s="15">
        <v>3</v>
      </c>
      <c r="I45" s="17">
        <f>SUM(F45:H45)</f>
        <v>3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>SUM(J45:O45)</f>
        <v>0</v>
      </c>
      <c r="Q45" s="15">
        <v>0</v>
      </c>
      <c r="R45" s="15">
        <v>3</v>
      </c>
      <c r="S45" s="15">
        <v>0</v>
      </c>
      <c r="T45" s="15">
        <v>0</v>
      </c>
      <c r="U45" s="15">
        <v>0</v>
      </c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9" customFormat="1" ht="18.75" customHeight="1">
      <c r="A46" s="32">
        <v>11</v>
      </c>
      <c r="B46" s="123"/>
      <c r="C46" s="20" t="str">
        <f>IF(A46="","VARA",VLOOKUP(A46,'[1]varas'!$A$4:$B$67,2))</f>
        <v>11ª VT Recife</v>
      </c>
      <c r="D46" s="15"/>
      <c r="E46" s="16"/>
      <c r="F46" s="15">
        <f>56+38+13+12</f>
        <v>119</v>
      </c>
      <c r="G46" s="15">
        <v>28</v>
      </c>
      <c r="H46" s="15">
        <v>20</v>
      </c>
      <c r="I46" s="17">
        <f>SUM(F46:H46)</f>
        <v>167</v>
      </c>
      <c r="J46" s="15">
        <v>24</v>
      </c>
      <c r="K46" s="15">
        <v>13</v>
      </c>
      <c r="L46" s="15">
        <v>13</v>
      </c>
      <c r="M46" s="15">
        <v>7</v>
      </c>
      <c r="N46" s="15">
        <v>0</v>
      </c>
      <c r="O46" s="15">
        <v>38</v>
      </c>
      <c r="P46" s="15">
        <f>SUM(J46:O46)</f>
        <v>95</v>
      </c>
      <c r="Q46" s="15">
        <v>37</v>
      </c>
      <c r="R46" s="15">
        <v>35</v>
      </c>
      <c r="S46" s="15">
        <v>0</v>
      </c>
      <c r="T46" s="15">
        <v>0</v>
      </c>
      <c r="U46" s="15">
        <v>195</v>
      </c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39" customFormat="1" ht="18.75" customHeight="1">
      <c r="A47" s="32">
        <v>12</v>
      </c>
      <c r="B47" s="123"/>
      <c r="C47" s="20" t="str">
        <f>IF(A47="","VARA",VLOOKUP(A47,'[1]varas'!$A$4:$B$67,2))</f>
        <v>12ª VT Recife</v>
      </c>
      <c r="D47" s="15"/>
      <c r="E47" s="16"/>
      <c r="F47" s="15">
        <v>1</v>
      </c>
      <c r="G47" s="15">
        <v>0</v>
      </c>
      <c r="H47" s="15">
        <v>0</v>
      </c>
      <c r="I47" s="17">
        <f>SUM(F47:H47)</f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</v>
      </c>
      <c r="P47" s="15">
        <f>SUM(J47:O47)</f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8"/>
      <c r="W47" s="18"/>
      <c r="X47" s="30"/>
      <c r="Y47" s="30"/>
      <c r="Z47" s="30"/>
      <c r="AA47" s="30"/>
      <c r="AB47" s="34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39" customFormat="1" ht="17.25" customHeight="1">
      <c r="A48" s="32">
        <v>23</v>
      </c>
      <c r="B48" s="123"/>
      <c r="C48" s="20" t="str">
        <f>IF(A48="","VARA",VLOOKUP(A48,'[1]varas'!$A$4:$B$67,2))</f>
        <v>23ª VT Recife</v>
      </c>
      <c r="D48" s="15"/>
      <c r="E48" s="16"/>
      <c r="F48" s="15">
        <v>0</v>
      </c>
      <c r="G48" s="15">
        <v>0</v>
      </c>
      <c r="H48" s="15">
        <v>3</v>
      </c>
      <c r="I48" s="17">
        <f>SUM(F48:H48)</f>
        <v>3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>SUM(J48:O48)</f>
        <v>0</v>
      </c>
      <c r="Q48" s="15">
        <v>0</v>
      </c>
      <c r="R48" s="15">
        <v>3</v>
      </c>
      <c r="S48" s="15">
        <v>0</v>
      </c>
      <c r="T48" s="15">
        <v>0</v>
      </c>
      <c r="U48" s="15">
        <v>0</v>
      </c>
      <c r="V48" s="18"/>
      <c r="W48" s="18"/>
      <c r="X48" s="30"/>
      <c r="Y48" s="30"/>
      <c r="Z48" s="30"/>
      <c r="AA48" s="30"/>
      <c r="AB48" s="34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28" s="30" customFormat="1" ht="15.75" customHeight="1">
      <c r="A49" s="32"/>
      <c r="B49" s="123"/>
      <c r="C49" s="21" t="s">
        <v>12</v>
      </c>
      <c r="D49" s="33"/>
      <c r="E49" s="23"/>
      <c r="F49" s="24">
        <f>SUM(F44:F48)</f>
        <v>120</v>
      </c>
      <c r="G49" s="24">
        <f>SUM(G44:G48)</f>
        <v>28</v>
      </c>
      <c r="H49" s="24">
        <f>SUM(H44:H48)</f>
        <v>26</v>
      </c>
      <c r="I49" s="25">
        <f>SUM(F49:H49)</f>
        <v>174</v>
      </c>
      <c r="J49" s="24">
        <f aca="true" t="shared" si="12" ref="J49:O49">SUM(J44:J48)</f>
        <v>24</v>
      </c>
      <c r="K49" s="24">
        <f t="shared" si="12"/>
        <v>13</v>
      </c>
      <c r="L49" s="24">
        <f t="shared" si="12"/>
        <v>13</v>
      </c>
      <c r="M49" s="24">
        <f t="shared" si="12"/>
        <v>7</v>
      </c>
      <c r="N49" s="24">
        <f t="shared" si="12"/>
        <v>0</v>
      </c>
      <c r="O49" s="24">
        <f t="shared" si="12"/>
        <v>39</v>
      </c>
      <c r="P49" s="24">
        <f>SUM(J49:O49)</f>
        <v>96</v>
      </c>
      <c r="Q49" s="24">
        <f>SUM(Q44:Q48)</f>
        <v>37</v>
      </c>
      <c r="R49" s="24">
        <f>SUM(R44:R48)</f>
        <v>41</v>
      </c>
      <c r="S49" s="24">
        <f>SUM(S44:S48)</f>
        <v>0</v>
      </c>
      <c r="T49" s="24">
        <f>SUM(T44:T48)</f>
        <v>0</v>
      </c>
      <c r="U49" s="24">
        <f>SUM(U44:U48)</f>
        <v>195</v>
      </c>
      <c r="V49" s="26">
        <f>IF(I49-Q49=0,"",IF(D49="",(P49+S49)/(I49-Q49),IF(AND(D49&lt;&gt;"",(P49+S49)/(I49-Q49)&gt;=50%),(P49+S49)/(I49-Q49),"")))</f>
        <v>0.7007299270072993</v>
      </c>
      <c r="W49" s="26">
        <f>IF(I49=O49,"",IF(V49="",0,(P49+Q49+S49-O49)/(I49-O49)))</f>
        <v>0.6962962962962963</v>
      </c>
      <c r="AB49" s="34"/>
    </row>
    <row r="50" spans="1:28" s="30" customFormat="1" ht="19.5" customHeight="1">
      <c r="A50" s="32"/>
      <c r="B50" s="123" t="s">
        <v>37</v>
      </c>
      <c r="C50" s="14" t="s">
        <v>2</v>
      </c>
      <c r="D50" s="29"/>
      <c r="E50" s="16" t="s">
        <v>27</v>
      </c>
      <c r="F50" s="15"/>
      <c r="G50" s="15"/>
      <c r="H50" s="15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8"/>
      <c r="W50" s="18"/>
      <c r="AB50" s="34"/>
    </row>
    <row r="51" spans="1:28" s="30" customFormat="1" ht="18" customHeight="1">
      <c r="A51" s="32">
        <v>54</v>
      </c>
      <c r="B51" s="123"/>
      <c r="C51" s="20" t="str">
        <f>IF(A51="","VARA",VLOOKUP(A51,'[1]varas'!$A$4:$B$67,2))</f>
        <v>1ª VT Palmares</v>
      </c>
      <c r="D51" s="15"/>
      <c r="E51" s="16"/>
      <c r="F51" s="15">
        <f>42+14+7+56</f>
        <v>119</v>
      </c>
      <c r="G51" s="15">
        <v>6</v>
      </c>
      <c r="H51" s="15">
        <v>0</v>
      </c>
      <c r="I51" s="17">
        <f>SUM(F51:H51)</f>
        <v>125</v>
      </c>
      <c r="J51" s="15">
        <v>33</v>
      </c>
      <c r="K51" s="15">
        <v>12</v>
      </c>
      <c r="L51" s="15">
        <v>7</v>
      </c>
      <c r="M51" s="15">
        <v>56</v>
      </c>
      <c r="N51" s="15">
        <v>0</v>
      </c>
      <c r="O51" s="15">
        <v>14</v>
      </c>
      <c r="P51" s="15">
        <f>SUM(J51:O51)</f>
        <v>122</v>
      </c>
      <c r="Q51" s="15">
        <v>3</v>
      </c>
      <c r="R51" s="15">
        <v>0</v>
      </c>
      <c r="S51" s="15">
        <v>0</v>
      </c>
      <c r="T51" s="15">
        <v>0</v>
      </c>
      <c r="U51" s="15">
        <v>119</v>
      </c>
      <c r="V51" s="18"/>
      <c r="W51" s="18"/>
      <c r="AB51" s="34"/>
    </row>
    <row r="52" spans="1:28" s="30" customFormat="1" ht="16.5" customHeight="1">
      <c r="A52" s="32"/>
      <c r="B52" s="123"/>
      <c r="C52" s="21" t="s">
        <v>12</v>
      </c>
      <c r="D52" s="33"/>
      <c r="E52" s="23"/>
      <c r="F52" s="24">
        <f>SUM(F50:F51)</f>
        <v>119</v>
      </c>
      <c r="G52" s="24">
        <f>SUM(G50:G51)</f>
        <v>6</v>
      </c>
      <c r="H52" s="24">
        <f>SUM(H50:H51)</f>
        <v>0</v>
      </c>
      <c r="I52" s="40">
        <f>SUM(F52:H52)</f>
        <v>125</v>
      </c>
      <c r="J52" s="24">
        <f aca="true" t="shared" si="13" ref="J52:O52">SUM(J50:J51)</f>
        <v>33</v>
      </c>
      <c r="K52" s="24">
        <f t="shared" si="13"/>
        <v>12</v>
      </c>
      <c r="L52" s="24">
        <f t="shared" si="13"/>
        <v>7</v>
      </c>
      <c r="M52" s="24">
        <f t="shared" si="13"/>
        <v>56</v>
      </c>
      <c r="N52" s="24">
        <f t="shared" si="13"/>
        <v>0</v>
      </c>
      <c r="O52" s="24">
        <f t="shared" si="13"/>
        <v>14</v>
      </c>
      <c r="P52" s="24">
        <f>SUM(J52:O52)</f>
        <v>122</v>
      </c>
      <c r="Q52" s="24">
        <f>SUM(Q50:Q51)</f>
        <v>3</v>
      </c>
      <c r="R52" s="24">
        <f>SUM(R50:R51)</f>
        <v>0</v>
      </c>
      <c r="S52" s="24">
        <f>SUM(S50:S51)</f>
        <v>0</v>
      </c>
      <c r="T52" s="24">
        <f>SUM(T50:T51)</f>
        <v>0</v>
      </c>
      <c r="U52" s="24">
        <f>SUM(U50:U51)</f>
        <v>119</v>
      </c>
      <c r="V52" s="26">
        <f>IF(I52-Q52=0,"",IF(D52="",(P52+S52)/(I52-Q52),IF(AND(D52&lt;&gt;"",(P52+S52)/(I52-Q52)&gt;=50%),(P52+S52)/(I52-Q52),"")))</f>
        <v>1</v>
      </c>
      <c r="W52" s="26">
        <f>IF(I52=O52,"",IF(V52="",0,(P52+Q52+S52-O52)/(I52-O52)))</f>
        <v>1</v>
      </c>
      <c r="AB52" s="34"/>
    </row>
    <row r="53" spans="1:28" s="30" customFormat="1" ht="23.25" customHeight="1">
      <c r="A53" s="32"/>
      <c r="B53" s="123" t="s">
        <v>38</v>
      </c>
      <c r="C53" s="14" t="s">
        <v>2</v>
      </c>
      <c r="D53" s="29" t="s">
        <v>164</v>
      </c>
      <c r="E53" s="16" t="s">
        <v>173</v>
      </c>
      <c r="F53" s="15"/>
      <c r="G53" s="15"/>
      <c r="H53" s="15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8"/>
      <c r="W53" s="18"/>
      <c r="AB53" s="34"/>
    </row>
    <row r="54" spans="1:28" s="30" customFormat="1" ht="19.5" customHeight="1">
      <c r="A54" s="32">
        <v>11</v>
      </c>
      <c r="B54" s="123"/>
      <c r="C54" s="20" t="str">
        <f>IF(A54="","VARA",VLOOKUP(A54,'[1]varas'!$A$4:$B$67,2))</f>
        <v>11ª VT Recife</v>
      </c>
      <c r="D54" s="15"/>
      <c r="E54" s="16"/>
      <c r="F54" s="15">
        <v>0</v>
      </c>
      <c r="G54" s="15">
        <v>0</v>
      </c>
      <c r="H54" s="15">
        <v>23</v>
      </c>
      <c r="I54" s="17">
        <f>SUM(F54:H54)</f>
        <v>23</v>
      </c>
      <c r="J54" s="15">
        <v>11</v>
      </c>
      <c r="K54" s="15">
        <v>1</v>
      </c>
      <c r="L54" s="15">
        <v>0</v>
      </c>
      <c r="M54" s="15">
        <v>2</v>
      </c>
      <c r="N54" s="15">
        <v>0</v>
      </c>
      <c r="O54" s="15">
        <v>0</v>
      </c>
      <c r="P54" s="15">
        <f>SUM(J54:O54)</f>
        <v>14</v>
      </c>
      <c r="Q54" s="15">
        <v>0</v>
      </c>
      <c r="R54" s="15">
        <v>9</v>
      </c>
      <c r="S54" s="15">
        <v>0</v>
      </c>
      <c r="T54" s="15">
        <v>0</v>
      </c>
      <c r="U54" s="15">
        <v>0</v>
      </c>
      <c r="V54" s="18"/>
      <c r="W54" s="18"/>
      <c r="AB54" s="34"/>
    </row>
    <row r="55" spans="1:28" s="45" customFormat="1" ht="16.5" customHeight="1">
      <c r="A55" s="44"/>
      <c r="B55" s="123"/>
      <c r="C55" s="21" t="s">
        <v>12</v>
      </c>
      <c r="D55" s="33"/>
      <c r="E55" s="23"/>
      <c r="F55" s="24">
        <f>SUM(F53:F54)</f>
        <v>0</v>
      </c>
      <c r="G55" s="24">
        <f>SUM(G53:G54)</f>
        <v>0</v>
      </c>
      <c r="H55" s="24">
        <f>SUM(H53:H54)</f>
        <v>23</v>
      </c>
      <c r="I55" s="40">
        <f>SUM(F55:H55)</f>
        <v>23</v>
      </c>
      <c r="J55" s="24">
        <f aca="true" t="shared" si="14" ref="J55:O55">SUM(J53:J54)</f>
        <v>11</v>
      </c>
      <c r="K55" s="24">
        <f t="shared" si="14"/>
        <v>1</v>
      </c>
      <c r="L55" s="24">
        <f t="shared" si="14"/>
        <v>0</v>
      </c>
      <c r="M55" s="24">
        <f t="shared" si="14"/>
        <v>2</v>
      </c>
      <c r="N55" s="24">
        <f t="shared" si="14"/>
        <v>0</v>
      </c>
      <c r="O55" s="24">
        <f t="shared" si="14"/>
        <v>0</v>
      </c>
      <c r="P55" s="24">
        <f>SUM(J55:O55)</f>
        <v>14</v>
      </c>
      <c r="Q55" s="24">
        <f>SUM(Q53:Q54)</f>
        <v>0</v>
      </c>
      <c r="R55" s="24">
        <f>SUM(R53:R54)</f>
        <v>9</v>
      </c>
      <c r="S55" s="24">
        <f>SUM(S53:S54)</f>
        <v>0</v>
      </c>
      <c r="T55" s="24">
        <f>SUM(T53:T54)</f>
        <v>0</v>
      </c>
      <c r="U55" s="24">
        <f>SUM(U53:U54)</f>
        <v>0</v>
      </c>
      <c r="V55" s="26">
        <f>IF(I55-Q55=0,"",IF(D55="",(P55+S55)/(I55-Q55),IF(AND(D55&lt;&gt;"",(P55+S55)/(I55-Q55)&gt;=50%),(P55+S55)/(I55-Q55),"")))</f>
        <v>0.6086956521739131</v>
      </c>
      <c r="W55" s="26">
        <f>IF(I55=O55,"",IF(V55="",0,(P55+Q55+S55-O55)/(I55-O55)))</f>
        <v>0.6086956521739131</v>
      </c>
      <c r="AB55" s="38"/>
    </row>
    <row r="56" spans="1:28" s="30" customFormat="1" ht="21" customHeight="1">
      <c r="A56" s="32"/>
      <c r="B56" s="123" t="s">
        <v>39</v>
      </c>
      <c r="C56" s="14" t="s">
        <v>2</v>
      </c>
      <c r="D56" s="29"/>
      <c r="E56" s="16" t="s">
        <v>27</v>
      </c>
      <c r="F56" s="15"/>
      <c r="G56" s="15"/>
      <c r="H56" s="15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8"/>
      <c r="W56" s="18"/>
      <c r="AB56" s="34"/>
    </row>
    <row r="57" spans="1:28" s="30" customFormat="1" ht="16.5" customHeight="1">
      <c r="A57" s="32">
        <v>55</v>
      </c>
      <c r="B57" s="123"/>
      <c r="C57" s="20" t="str">
        <f>IF(A57="","VARA",VLOOKUP(A57,'[1]varas'!$A$4:$B$67,2))</f>
        <v>VT Pesqueira</v>
      </c>
      <c r="D57" s="15"/>
      <c r="E57" s="17"/>
      <c r="F57" s="15">
        <f>44+53+8+5</f>
        <v>110</v>
      </c>
      <c r="G57" s="15">
        <v>5</v>
      </c>
      <c r="H57" s="15">
        <v>0</v>
      </c>
      <c r="I57" s="17">
        <f>SUM(F57:H57)</f>
        <v>115</v>
      </c>
      <c r="J57" s="15">
        <v>22</v>
      </c>
      <c r="K57" s="15">
        <v>17</v>
      </c>
      <c r="L57" s="15">
        <v>8</v>
      </c>
      <c r="M57" s="15">
        <v>3</v>
      </c>
      <c r="N57" s="15">
        <v>2</v>
      </c>
      <c r="O57" s="15">
        <v>53</v>
      </c>
      <c r="P57" s="15">
        <f>SUM(J57:O57)</f>
        <v>105</v>
      </c>
      <c r="Q57" s="15">
        <v>10</v>
      </c>
      <c r="R57" s="15">
        <v>0</v>
      </c>
      <c r="S57" s="15">
        <v>0</v>
      </c>
      <c r="T57" s="15">
        <v>0</v>
      </c>
      <c r="U57" s="15">
        <v>164</v>
      </c>
      <c r="V57" s="18"/>
      <c r="W57" s="18"/>
      <c r="AB57" s="34"/>
    </row>
    <row r="58" spans="2:28" s="32" customFormat="1" ht="15" customHeight="1">
      <c r="B58" s="123"/>
      <c r="C58" s="21" t="s">
        <v>12</v>
      </c>
      <c r="D58" s="33"/>
      <c r="E58" s="23"/>
      <c r="F58" s="24">
        <f>SUM(F56:F57)</f>
        <v>110</v>
      </c>
      <c r="G58" s="24">
        <f>SUM(G56:G57)</f>
        <v>5</v>
      </c>
      <c r="H58" s="24">
        <f>SUM(H56:H57)</f>
        <v>0</v>
      </c>
      <c r="I58" s="40">
        <f>SUM(F58:H58)</f>
        <v>115</v>
      </c>
      <c r="J58" s="24">
        <f aca="true" t="shared" si="15" ref="J58:O58">SUM(J56:J57)</f>
        <v>22</v>
      </c>
      <c r="K58" s="24">
        <f t="shared" si="15"/>
        <v>17</v>
      </c>
      <c r="L58" s="24">
        <f t="shared" si="15"/>
        <v>8</v>
      </c>
      <c r="M58" s="24">
        <f t="shared" si="15"/>
        <v>3</v>
      </c>
      <c r="N58" s="24">
        <f t="shared" si="15"/>
        <v>2</v>
      </c>
      <c r="O58" s="24">
        <f t="shared" si="15"/>
        <v>53</v>
      </c>
      <c r="P58" s="24">
        <f>SUM(J58:O58)</f>
        <v>105</v>
      </c>
      <c r="Q58" s="24">
        <f>SUM(Q56:Q57)</f>
        <v>10</v>
      </c>
      <c r="R58" s="24">
        <f>SUM(R56:R57)</f>
        <v>0</v>
      </c>
      <c r="S58" s="24">
        <f>SUM(S56:S57)</f>
        <v>0</v>
      </c>
      <c r="T58" s="24">
        <f>SUM(T56:T57)</f>
        <v>0</v>
      </c>
      <c r="U58" s="24">
        <f>SUM(U56:U57)</f>
        <v>164</v>
      </c>
      <c r="V58" s="26">
        <f>IF(I58-Q58=0,"",IF(D58="",(P58+S58)/(I58-Q58),IF(AND(D58&lt;&gt;"",(P58+S58)/(I58-Q58)&gt;=50%),(P58+S58)/(I58-Q58),"")))</f>
        <v>1</v>
      </c>
      <c r="W58" s="26">
        <f>IF(I58=O58,"",IF(V58="",0,(P58+Q58+S58-O58)/(I58-O58)))</f>
        <v>1</v>
      </c>
      <c r="AB58" s="46"/>
    </row>
    <row r="59" spans="1:41" s="39" customFormat="1" ht="18.75" customHeight="1">
      <c r="A59" s="32"/>
      <c r="B59" s="123" t="s">
        <v>40</v>
      </c>
      <c r="C59" s="14" t="s">
        <v>2</v>
      </c>
      <c r="D59" s="29" t="s">
        <v>165</v>
      </c>
      <c r="E59" s="16" t="s">
        <v>209</v>
      </c>
      <c r="F59" s="15"/>
      <c r="G59" s="15"/>
      <c r="H59" s="15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8"/>
      <c r="W59" s="18"/>
      <c r="X59" s="30"/>
      <c r="Y59" s="30"/>
      <c r="Z59" s="30"/>
      <c r="AA59" s="30"/>
      <c r="AB59" s="3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41" s="39" customFormat="1" ht="17.25" customHeight="1">
      <c r="A60" s="32">
        <v>8</v>
      </c>
      <c r="B60" s="123"/>
      <c r="C60" s="20" t="str">
        <f>IF(A60="","VARA",VLOOKUP(A60,'[1]varas'!$A$4:$B$67,2))</f>
        <v>8ª VT Recife</v>
      </c>
      <c r="D60" s="29"/>
      <c r="E60" s="16"/>
      <c r="F60" s="15">
        <f>76+44+29+20</f>
        <v>169</v>
      </c>
      <c r="G60" s="15">
        <v>6</v>
      </c>
      <c r="H60" s="15">
        <v>0</v>
      </c>
      <c r="I60" s="17">
        <f>SUM(F60:H60)</f>
        <v>175</v>
      </c>
      <c r="J60" s="15">
        <v>50</v>
      </c>
      <c r="K60" s="15">
        <v>32</v>
      </c>
      <c r="L60" s="15">
        <v>29</v>
      </c>
      <c r="M60" s="15">
        <v>20</v>
      </c>
      <c r="N60" s="15">
        <v>0</v>
      </c>
      <c r="O60" s="15">
        <v>44</v>
      </c>
      <c r="P60" s="15">
        <f>SUM(J60:O60)</f>
        <v>175</v>
      </c>
      <c r="Q60" s="15">
        <v>0</v>
      </c>
      <c r="R60" s="15">
        <v>0</v>
      </c>
      <c r="S60" s="15">
        <v>0</v>
      </c>
      <c r="T60" s="15">
        <v>0</v>
      </c>
      <c r="U60" s="15">
        <v>161</v>
      </c>
      <c r="V60" s="18"/>
      <c r="W60" s="18"/>
      <c r="X60" s="30"/>
      <c r="Y60" s="30"/>
      <c r="Z60" s="30"/>
      <c r="AA60" s="30"/>
      <c r="AB60" s="34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28" s="30" customFormat="1" ht="20.25" customHeight="1">
      <c r="A61" s="32"/>
      <c r="B61" s="123"/>
      <c r="C61" s="21" t="s">
        <v>12</v>
      </c>
      <c r="D61" s="33"/>
      <c r="E61" s="23"/>
      <c r="F61" s="24">
        <f>SUM(F59:F60)</f>
        <v>169</v>
      </c>
      <c r="G61" s="24">
        <f>SUM(G59:G60)</f>
        <v>6</v>
      </c>
      <c r="H61" s="24">
        <f>SUM(H59:H60)</f>
        <v>0</v>
      </c>
      <c r="I61" s="25">
        <f>SUM(F61:H61)</f>
        <v>175</v>
      </c>
      <c r="J61" s="24">
        <f aca="true" t="shared" si="16" ref="J61:O61">SUM(J59:J60)</f>
        <v>50</v>
      </c>
      <c r="K61" s="24">
        <f t="shared" si="16"/>
        <v>32</v>
      </c>
      <c r="L61" s="24">
        <f t="shared" si="16"/>
        <v>29</v>
      </c>
      <c r="M61" s="24">
        <f t="shared" si="16"/>
        <v>20</v>
      </c>
      <c r="N61" s="24">
        <f t="shared" si="16"/>
        <v>0</v>
      </c>
      <c r="O61" s="24">
        <f t="shared" si="16"/>
        <v>44</v>
      </c>
      <c r="P61" s="24">
        <f>SUM(J61:O61)</f>
        <v>175</v>
      </c>
      <c r="Q61" s="24">
        <f>SUM(Q59:Q60)</f>
        <v>0</v>
      </c>
      <c r="R61" s="24">
        <f>SUM(R59:R60)</f>
        <v>0</v>
      </c>
      <c r="S61" s="24">
        <f>SUM(S59:S60)</f>
        <v>0</v>
      </c>
      <c r="T61" s="24">
        <f>SUM(T59:T60)</f>
        <v>0</v>
      </c>
      <c r="U61" s="24">
        <f>SUM(U59:U60)</f>
        <v>161</v>
      </c>
      <c r="V61" s="26">
        <f>IF(I61-Q61=0,"",IF(D61="",(P61+S61)/(I61-Q61),IF(AND(D61&lt;&gt;"",(P61+S61)/(I61-Q61)&gt;=50%),(P61+S61)/(I61-Q61),"")))</f>
        <v>1</v>
      </c>
      <c r="W61" s="26">
        <f>IF(I61=O61,"",IF(V61="",0,(P61+Q61+S61-O61)/(I61-O61)))</f>
        <v>1</v>
      </c>
      <c r="AB61" s="34"/>
    </row>
    <row r="62" spans="1:28" s="30" customFormat="1" ht="17.25" customHeight="1">
      <c r="A62" s="32"/>
      <c r="B62" s="126" t="s">
        <v>41</v>
      </c>
      <c r="C62" s="14" t="s">
        <v>2</v>
      </c>
      <c r="D62" s="15"/>
      <c r="E62" s="16" t="s">
        <v>27</v>
      </c>
      <c r="F62" s="15"/>
      <c r="G62" s="15"/>
      <c r="H62" s="15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8"/>
      <c r="W62" s="18"/>
      <c r="AB62" s="34"/>
    </row>
    <row r="63" spans="1:28" s="30" customFormat="1" ht="17.25" customHeight="1">
      <c r="A63" s="32">
        <v>38</v>
      </c>
      <c r="B63" s="126"/>
      <c r="C63" s="20" t="str">
        <f>IF(A63="","VARA",VLOOKUP(A63,'[1]varas'!$A$4:$B$67,2))</f>
        <v>1ª VT Olinda</v>
      </c>
      <c r="D63" s="15"/>
      <c r="E63" s="16"/>
      <c r="F63" s="15">
        <v>0</v>
      </c>
      <c r="G63" s="15">
        <v>0</v>
      </c>
      <c r="H63" s="15">
        <v>1</v>
      </c>
      <c r="I63" s="17">
        <f>SUM(F63:H63)</f>
        <v>1</v>
      </c>
      <c r="J63" s="15">
        <v>1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>SUM(J63:O63)</f>
        <v>1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8"/>
      <c r="W63" s="18"/>
      <c r="AB63" s="34"/>
    </row>
    <row r="64" spans="1:28" s="30" customFormat="1" ht="18.75" customHeight="1">
      <c r="A64" s="32">
        <v>39</v>
      </c>
      <c r="B64" s="126"/>
      <c r="C64" s="20" t="str">
        <f>IF(A64="","VARA",VLOOKUP(A64,'[1]varas'!$A$4:$B$67,2))</f>
        <v>2ª VT Olinda</v>
      </c>
      <c r="D64" s="29"/>
      <c r="E64" s="16"/>
      <c r="F64" s="15">
        <f>58+83+8+4</f>
        <v>153</v>
      </c>
      <c r="G64" s="15">
        <v>12</v>
      </c>
      <c r="H64" s="15">
        <v>2</v>
      </c>
      <c r="I64" s="17">
        <f>SUM(F64:H64)</f>
        <v>167</v>
      </c>
      <c r="J64" s="15">
        <v>32</v>
      </c>
      <c r="K64" s="15">
        <v>11</v>
      </c>
      <c r="L64" s="15">
        <v>8</v>
      </c>
      <c r="M64" s="15">
        <v>4</v>
      </c>
      <c r="N64" s="15">
        <v>0</v>
      </c>
      <c r="O64" s="15">
        <v>83</v>
      </c>
      <c r="P64" s="15">
        <f>SUM(J64:O64)</f>
        <v>138</v>
      </c>
      <c r="Q64" s="15">
        <v>11</v>
      </c>
      <c r="R64" s="15">
        <v>18</v>
      </c>
      <c r="S64" s="15">
        <v>0</v>
      </c>
      <c r="T64" s="15">
        <v>0</v>
      </c>
      <c r="U64" s="15">
        <v>237</v>
      </c>
      <c r="V64" s="18"/>
      <c r="W64" s="18"/>
      <c r="AB64" s="34"/>
    </row>
    <row r="65" spans="1:28" s="30" customFormat="1" ht="16.5" customHeight="1">
      <c r="A65" s="32">
        <v>40</v>
      </c>
      <c r="B65" s="126"/>
      <c r="C65" s="20" t="str">
        <f>IF(A65="","VARA",VLOOKUP(A65,'[1]varas'!$A$4:$B$67,2))</f>
        <v>3ª VT Olinda</v>
      </c>
      <c r="D65" s="15"/>
      <c r="E65" s="17"/>
      <c r="F65" s="15">
        <v>1</v>
      </c>
      <c r="G65" s="15">
        <v>0</v>
      </c>
      <c r="H65" s="15">
        <v>0</v>
      </c>
      <c r="I65" s="17">
        <f>SUM(F65:H65)</f>
        <v>1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</v>
      </c>
      <c r="P65" s="15">
        <f>SUM(J65:O65)</f>
        <v>1</v>
      </c>
      <c r="Q65" s="15">
        <v>0</v>
      </c>
      <c r="R65" s="15">
        <v>0</v>
      </c>
      <c r="S65" s="15">
        <v>0</v>
      </c>
      <c r="T65" s="15">
        <v>0</v>
      </c>
      <c r="U65" s="15">
        <v>1</v>
      </c>
      <c r="V65" s="18"/>
      <c r="W65" s="18"/>
      <c r="AB65" s="34"/>
    </row>
    <row r="66" spans="1:28" s="49" customFormat="1" ht="16.5" customHeight="1">
      <c r="A66" s="47"/>
      <c r="B66" s="125"/>
      <c r="C66" s="20" t="s">
        <v>12</v>
      </c>
      <c r="D66" s="24"/>
      <c r="E66" s="48"/>
      <c r="F66" s="24">
        <f>SUM(F62:F65)</f>
        <v>154</v>
      </c>
      <c r="G66" s="24">
        <f>SUM(G62:G65)</f>
        <v>12</v>
      </c>
      <c r="H66" s="24">
        <f>SUM(H62:H65)</f>
        <v>3</v>
      </c>
      <c r="I66" s="40">
        <f>SUM(F66:H66)</f>
        <v>169</v>
      </c>
      <c r="J66" s="24">
        <f aca="true" t="shared" si="17" ref="J66:O66">SUM(J62:J65)</f>
        <v>33</v>
      </c>
      <c r="K66" s="24">
        <f t="shared" si="17"/>
        <v>11</v>
      </c>
      <c r="L66" s="24">
        <f t="shared" si="17"/>
        <v>8</v>
      </c>
      <c r="M66" s="24">
        <f t="shared" si="17"/>
        <v>4</v>
      </c>
      <c r="N66" s="24">
        <f t="shared" si="17"/>
        <v>0</v>
      </c>
      <c r="O66" s="24">
        <f t="shared" si="17"/>
        <v>84</v>
      </c>
      <c r="P66" s="24">
        <f>SUM(J66:O66)</f>
        <v>140</v>
      </c>
      <c r="Q66" s="24">
        <f>SUM(Q62:Q65)</f>
        <v>11</v>
      </c>
      <c r="R66" s="24">
        <f>SUM(R62:R65)</f>
        <v>18</v>
      </c>
      <c r="S66" s="24">
        <f>SUM(S62:S65)</f>
        <v>0</v>
      </c>
      <c r="T66" s="24">
        <f>SUM(T62:T65)</f>
        <v>0</v>
      </c>
      <c r="U66" s="24">
        <f>SUM(U62:U65)</f>
        <v>238</v>
      </c>
      <c r="V66" s="26">
        <f>IF(I66-Q66=0,"",IF(D66="",(P66+S66)/(I66-Q66),IF(AND(D66&lt;&gt;"",(P66+S66)/(I66-Q66)&gt;=50%),(P66+S66)/(I66-Q66),"")))</f>
        <v>0.8860759493670886</v>
      </c>
      <c r="W66" s="26">
        <f>IF(I66=O66,"",IF(V66="",0,(P66+Q66+S66-O66)/(I66-O66)))</f>
        <v>0.788235294117647</v>
      </c>
      <c r="AB66" s="50"/>
    </row>
    <row r="67" spans="1:28" s="30" customFormat="1" ht="21.75" customHeight="1">
      <c r="A67" s="32"/>
      <c r="B67" s="127" t="s">
        <v>42</v>
      </c>
      <c r="C67" s="14" t="s">
        <v>2</v>
      </c>
      <c r="D67" s="29"/>
      <c r="E67" s="16" t="s">
        <v>27</v>
      </c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/>
      <c r="W67" s="18"/>
      <c r="AB67" s="34"/>
    </row>
    <row r="68" spans="1:28" s="30" customFormat="1" ht="21.75" customHeight="1">
      <c r="A68" s="32">
        <v>8</v>
      </c>
      <c r="B68" s="127"/>
      <c r="C68" s="20" t="str">
        <f>IF(A68="","VARA",VLOOKUP(A68,'[1]varas'!$A$4:$B$67,2))</f>
        <v>8ª VT Recife</v>
      </c>
      <c r="D68" s="29"/>
      <c r="E68" s="16"/>
      <c r="F68" s="15">
        <v>1</v>
      </c>
      <c r="G68" s="15">
        <v>0</v>
      </c>
      <c r="H68" s="15">
        <v>0</v>
      </c>
      <c r="I68" s="17">
        <f>SUM(F68:H68)</f>
        <v>1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15">
        <f>SUM(J68:O68)</f>
        <v>1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8"/>
      <c r="W68" s="18"/>
      <c r="AB68" s="34"/>
    </row>
    <row r="69" spans="1:28" s="30" customFormat="1" ht="20.25" customHeight="1">
      <c r="A69" s="32">
        <v>19</v>
      </c>
      <c r="B69" s="123"/>
      <c r="C69" s="20" t="str">
        <f>IF(A69="","VARA",VLOOKUP(A69,'[1]varas'!$A$4:$B$67,2))</f>
        <v>19ª VT Recife</v>
      </c>
      <c r="D69" s="29"/>
      <c r="E69" s="16"/>
      <c r="F69" s="15">
        <f>54+17+14+6</f>
        <v>91</v>
      </c>
      <c r="G69" s="15">
        <v>13</v>
      </c>
      <c r="H69" s="15">
        <v>0</v>
      </c>
      <c r="I69" s="17">
        <f>SUM(F69:H69)</f>
        <v>104</v>
      </c>
      <c r="J69" s="15">
        <v>37</v>
      </c>
      <c r="K69" s="15">
        <v>30</v>
      </c>
      <c r="L69" s="15">
        <v>14</v>
      </c>
      <c r="M69" s="15">
        <v>6</v>
      </c>
      <c r="N69" s="15">
        <v>0</v>
      </c>
      <c r="O69" s="15">
        <v>17</v>
      </c>
      <c r="P69" s="15">
        <f>SUM(J69:O69)</f>
        <v>104</v>
      </c>
      <c r="Q69" s="15">
        <v>0</v>
      </c>
      <c r="R69" s="15">
        <v>0</v>
      </c>
      <c r="S69" s="15">
        <v>0</v>
      </c>
      <c r="T69" s="15">
        <v>0</v>
      </c>
      <c r="U69" s="15">
        <v>176</v>
      </c>
      <c r="V69" s="18"/>
      <c r="W69" s="18"/>
      <c r="AB69" s="34"/>
    </row>
    <row r="70" spans="1:28" s="49" customFormat="1" ht="18" customHeight="1">
      <c r="A70" s="47"/>
      <c r="B70" s="123"/>
      <c r="C70" s="21" t="s">
        <v>12</v>
      </c>
      <c r="D70" s="51"/>
      <c r="E70" s="52"/>
      <c r="F70" s="24">
        <f>SUM(F67:F69)</f>
        <v>92</v>
      </c>
      <c r="G70" s="24">
        <f>SUM(G67:G69)</f>
        <v>13</v>
      </c>
      <c r="H70" s="24">
        <f>SUM(H67:H69)</f>
        <v>0</v>
      </c>
      <c r="I70" s="25">
        <f>SUM(F70:H70)</f>
        <v>105</v>
      </c>
      <c r="J70" s="24">
        <f aca="true" t="shared" si="18" ref="J70:O70">SUM(J67:J69)</f>
        <v>37</v>
      </c>
      <c r="K70" s="24">
        <f t="shared" si="18"/>
        <v>31</v>
      </c>
      <c r="L70" s="24">
        <f t="shared" si="18"/>
        <v>14</v>
      </c>
      <c r="M70" s="24">
        <f t="shared" si="18"/>
        <v>6</v>
      </c>
      <c r="N70" s="24">
        <f t="shared" si="18"/>
        <v>0</v>
      </c>
      <c r="O70" s="24">
        <f t="shared" si="18"/>
        <v>17</v>
      </c>
      <c r="P70" s="24">
        <f>SUM(J70:O70)</f>
        <v>105</v>
      </c>
      <c r="Q70" s="24">
        <f>SUM(Q67:Q69)</f>
        <v>0</v>
      </c>
      <c r="R70" s="24">
        <f>SUM(R67:R69)</f>
        <v>0</v>
      </c>
      <c r="S70" s="24">
        <f>SUM(S67:S69)</f>
        <v>0</v>
      </c>
      <c r="T70" s="24">
        <f>SUM(T67:T69)</f>
        <v>0</v>
      </c>
      <c r="U70" s="24">
        <f>SUM(U67:U69)</f>
        <v>176</v>
      </c>
      <c r="V70" s="26">
        <f>IF(I70-Q70=0,"",IF(D70="",(P70+S70)/(I70-Q70),IF(AND(D70&lt;&gt;"",(P70+S70)/(I70-Q70)&gt;=50%),(P70+S70)/(I70-Q70),"")))</f>
        <v>1</v>
      </c>
      <c r="W70" s="26">
        <f>IF(I70=O70,"",IF(V70="",0,(P70+Q70+S70-O70)/(I70-O70)))</f>
        <v>1</v>
      </c>
      <c r="AB70" s="50"/>
    </row>
    <row r="71" spans="1:28" s="30" customFormat="1" ht="34.5" customHeight="1">
      <c r="A71" s="32"/>
      <c r="B71" s="123" t="s">
        <v>44</v>
      </c>
      <c r="C71" s="14" t="s">
        <v>161</v>
      </c>
      <c r="D71" s="29" t="s">
        <v>220</v>
      </c>
      <c r="E71" s="16" t="s">
        <v>221</v>
      </c>
      <c r="F71" s="15"/>
      <c r="G71" s="15"/>
      <c r="H71" s="15"/>
      <c r="I71" s="17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8"/>
      <c r="W71" s="18"/>
      <c r="AB71" s="34"/>
    </row>
    <row r="72" spans="1:28" s="30" customFormat="1" ht="24" customHeight="1">
      <c r="A72" s="32">
        <v>16</v>
      </c>
      <c r="B72" s="123"/>
      <c r="C72" s="20" t="str">
        <f>IF(A72="","VARA",VLOOKUP(A72,'[1]varas'!$A$4:$B$67,2))</f>
        <v>16ª VT Recife</v>
      </c>
      <c r="D72" s="15"/>
      <c r="E72" s="17"/>
      <c r="F72" s="15">
        <v>11</v>
      </c>
      <c r="G72" s="15">
        <v>0</v>
      </c>
      <c r="H72" s="15">
        <v>0</v>
      </c>
      <c r="I72" s="17">
        <f>SUM(F72:H72)</f>
        <v>11</v>
      </c>
      <c r="J72" s="15">
        <v>0</v>
      </c>
      <c r="K72" s="15">
        <v>1</v>
      </c>
      <c r="L72" s="15">
        <v>1</v>
      </c>
      <c r="M72" s="15">
        <v>0</v>
      </c>
      <c r="N72" s="15">
        <v>0</v>
      </c>
      <c r="O72" s="15">
        <v>2</v>
      </c>
      <c r="P72" s="15">
        <f>SUM(J72:O72)</f>
        <v>4</v>
      </c>
      <c r="Q72" s="15">
        <v>7</v>
      </c>
      <c r="R72" s="15">
        <v>0</v>
      </c>
      <c r="S72" s="15">
        <v>0</v>
      </c>
      <c r="T72" s="15">
        <v>0</v>
      </c>
      <c r="U72" s="15">
        <v>16</v>
      </c>
      <c r="V72" s="18"/>
      <c r="W72" s="18"/>
      <c r="AB72" s="34"/>
    </row>
    <row r="73" spans="1:28" s="30" customFormat="1" ht="21.75" customHeight="1">
      <c r="A73" s="32">
        <v>21</v>
      </c>
      <c r="B73" s="123"/>
      <c r="C73" s="20" t="str">
        <f>IF(A73="","VARA",VLOOKUP(A73,'[1]varas'!$A$4:$B$67,2))</f>
        <v>21ª VT Recife</v>
      </c>
      <c r="D73" s="15"/>
      <c r="E73" s="17"/>
      <c r="F73" s="15">
        <f>24+25+9</f>
        <v>58</v>
      </c>
      <c r="G73" s="15">
        <v>12</v>
      </c>
      <c r="H73" s="15">
        <v>25</v>
      </c>
      <c r="I73" s="17">
        <f>SUM(F73:H73)</f>
        <v>95</v>
      </c>
      <c r="J73" s="15">
        <v>0</v>
      </c>
      <c r="K73" s="15">
        <v>5</v>
      </c>
      <c r="L73" s="15">
        <v>8</v>
      </c>
      <c r="M73" s="15">
        <v>0</v>
      </c>
      <c r="N73" s="15">
        <v>1</v>
      </c>
      <c r="O73" s="15">
        <v>25</v>
      </c>
      <c r="P73" s="15">
        <f>SUM(J73:O73)</f>
        <v>39</v>
      </c>
      <c r="Q73" s="15">
        <v>13</v>
      </c>
      <c r="R73" s="15">
        <v>43</v>
      </c>
      <c r="S73" s="15">
        <v>0</v>
      </c>
      <c r="T73" s="15">
        <v>0</v>
      </c>
      <c r="U73" s="15">
        <v>52</v>
      </c>
      <c r="V73" s="18"/>
      <c r="W73" s="18"/>
      <c r="AB73" s="34"/>
    </row>
    <row r="74" spans="1:28" s="30" customFormat="1" ht="21.75" customHeight="1">
      <c r="A74" s="32">
        <v>66</v>
      </c>
      <c r="B74" s="123"/>
      <c r="C74" s="20" t="s">
        <v>167</v>
      </c>
      <c r="D74" s="15"/>
      <c r="E74" s="17"/>
      <c r="F74" s="15">
        <v>0</v>
      </c>
      <c r="G74" s="15">
        <v>0</v>
      </c>
      <c r="H74" s="15">
        <v>3</v>
      </c>
      <c r="I74" s="17">
        <f>SUM(F74:H74)</f>
        <v>3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SUM(J74:O74)</f>
        <v>0</v>
      </c>
      <c r="Q74" s="15">
        <v>0</v>
      </c>
      <c r="R74" s="15">
        <v>3</v>
      </c>
      <c r="S74" s="15">
        <v>0</v>
      </c>
      <c r="T74" s="15">
        <v>0</v>
      </c>
      <c r="U74" s="15">
        <v>0</v>
      </c>
      <c r="V74" s="18"/>
      <c r="W74" s="18"/>
      <c r="AB74" s="34"/>
    </row>
    <row r="75" spans="1:28" s="30" customFormat="1" ht="21.75" customHeight="1">
      <c r="A75" s="32">
        <v>51</v>
      </c>
      <c r="B75" s="123"/>
      <c r="C75" s="20" t="str">
        <f>IF(A75="","VARA",VLOOKUP(A75,'[1]varas'!$A$4:$B$67,2))</f>
        <v>VT Goiana</v>
      </c>
      <c r="D75" s="15"/>
      <c r="E75" s="17"/>
      <c r="F75" s="15">
        <v>0</v>
      </c>
      <c r="G75" s="15">
        <v>0</v>
      </c>
      <c r="H75" s="15">
        <v>140</v>
      </c>
      <c r="I75" s="17">
        <f>SUM(F75:H75)</f>
        <v>140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>SUM(J75:O75)</f>
        <v>0</v>
      </c>
      <c r="Q75" s="15">
        <v>0</v>
      </c>
      <c r="R75" s="15">
        <v>140</v>
      </c>
      <c r="S75" s="15">
        <v>0</v>
      </c>
      <c r="T75" s="15">
        <v>0</v>
      </c>
      <c r="U75" s="15">
        <v>0</v>
      </c>
      <c r="V75" s="18"/>
      <c r="W75" s="18"/>
      <c r="AB75" s="34"/>
    </row>
    <row r="76" spans="1:28" s="49" customFormat="1" ht="18.75" customHeight="1">
      <c r="A76" s="47"/>
      <c r="B76" s="123"/>
      <c r="C76" s="20" t="s">
        <v>12</v>
      </c>
      <c r="D76" s="24"/>
      <c r="E76" s="48"/>
      <c r="F76" s="24">
        <f>SUM(F71:F75)</f>
        <v>69</v>
      </c>
      <c r="G76" s="24">
        <f>SUM(G71:G75)</f>
        <v>12</v>
      </c>
      <c r="H76" s="24">
        <f>SUM(H71:H75)</f>
        <v>168</v>
      </c>
      <c r="I76" s="40">
        <f>SUM(F76:H76)</f>
        <v>249</v>
      </c>
      <c r="J76" s="24">
        <f aca="true" t="shared" si="19" ref="J76:O76">SUM(J71:J75)</f>
        <v>0</v>
      </c>
      <c r="K76" s="24">
        <f t="shared" si="19"/>
        <v>6</v>
      </c>
      <c r="L76" s="24">
        <f t="shared" si="19"/>
        <v>9</v>
      </c>
      <c r="M76" s="24">
        <f t="shared" si="19"/>
        <v>0</v>
      </c>
      <c r="N76" s="24">
        <f t="shared" si="19"/>
        <v>1</v>
      </c>
      <c r="O76" s="24">
        <f t="shared" si="19"/>
        <v>27</v>
      </c>
      <c r="P76" s="24">
        <f>SUM(J76:O76)</f>
        <v>43</v>
      </c>
      <c r="Q76" s="24">
        <f>SUM(Q71:Q75)</f>
        <v>20</v>
      </c>
      <c r="R76" s="24">
        <f>SUM(R71:R75)</f>
        <v>186</v>
      </c>
      <c r="S76" s="24">
        <f>SUM(S71:S75)</f>
        <v>0</v>
      </c>
      <c r="T76" s="24">
        <f>SUM(T71:T75)</f>
        <v>0</v>
      </c>
      <c r="U76" s="24">
        <f>SUM(U71:U75)</f>
        <v>68</v>
      </c>
      <c r="V76" s="26">
        <f>IF(I76-Q76=0,"",IF(D76="",(P76+S76)/(I76-Q76),IF(AND(D76&lt;&gt;"",(P76+S76)/(I76-Q76)&gt;=50%),(P76+S76)/(I76-Q76),"")))</f>
        <v>0.18777292576419213</v>
      </c>
      <c r="W76" s="26">
        <f>IF(I76=O76,"",IF(V76="",0,(P76+Q76+S76-O76)/(I76-O76)))</f>
        <v>0.16216216216216217</v>
      </c>
      <c r="AB76" s="50"/>
    </row>
    <row r="77" spans="1:28" s="30" customFormat="1" ht="22.5" customHeight="1">
      <c r="A77" s="32"/>
      <c r="B77" s="123" t="s">
        <v>45</v>
      </c>
      <c r="C77" s="14" t="s">
        <v>2</v>
      </c>
      <c r="D77" s="29"/>
      <c r="E77" s="16" t="s">
        <v>27</v>
      </c>
      <c r="F77" s="15"/>
      <c r="G77" s="15"/>
      <c r="H77" s="15"/>
      <c r="I77" s="17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8"/>
      <c r="W77" s="18"/>
      <c r="AB77" s="34"/>
    </row>
    <row r="78" spans="1:28" s="30" customFormat="1" ht="18.75" customHeight="1">
      <c r="A78" s="32">
        <v>36</v>
      </c>
      <c r="B78" s="123"/>
      <c r="C78" s="20" t="str">
        <f>IF(A78="","VARA",VLOOKUP(A78,'[1]varas'!$A$4:$B$67,2))</f>
        <v>3ª VT Jaboatão</v>
      </c>
      <c r="D78" s="15"/>
      <c r="E78" s="16"/>
      <c r="F78" s="15">
        <f>40+30+4</f>
        <v>74</v>
      </c>
      <c r="G78" s="15">
        <v>7</v>
      </c>
      <c r="H78" s="15">
        <v>0</v>
      </c>
      <c r="I78" s="17">
        <f>SUM(F78:H78)</f>
        <v>81</v>
      </c>
      <c r="J78" s="15">
        <v>33</v>
      </c>
      <c r="K78" s="15">
        <v>9</v>
      </c>
      <c r="L78" s="15">
        <v>3</v>
      </c>
      <c r="M78" s="15">
        <v>1</v>
      </c>
      <c r="N78" s="15">
        <v>0</v>
      </c>
      <c r="O78" s="15">
        <v>30</v>
      </c>
      <c r="P78" s="15">
        <f>SUM(J78:O78)</f>
        <v>76</v>
      </c>
      <c r="Q78" s="15">
        <v>5</v>
      </c>
      <c r="R78" s="15">
        <v>0</v>
      </c>
      <c r="S78" s="15">
        <v>0</v>
      </c>
      <c r="T78" s="15">
        <v>0</v>
      </c>
      <c r="U78" s="15">
        <v>93</v>
      </c>
      <c r="V78" s="18"/>
      <c r="W78" s="18"/>
      <c r="AB78" s="34"/>
    </row>
    <row r="79" spans="1:41" s="53" customFormat="1" ht="18.75" customHeight="1">
      <c r="A79" s="47"/>
      <c r="B79" s="123"/>
      <c r="C79" s="21" t="s">
        <v>12</v>
      </c>
      <c r="D79" s="51"/>
      <c r="E79" s="52"/>
      <c r="F79" s="24">
        <f>SUM(F77:F78)</f>
        <v>74</v>
      </c>
      <c r="G79" s="24">
        <f>SUM(G77:G78)</f>
        <v>7</v>
      </c>
      <c r="H79" s="24">
        <f>SUM(H77:H78)</f>
        <v>0</v>
      </c>
      <c r="I79" s="25">
        <f>SUM(F79:H79)</f>
        <v>81</v>
      </c>
      <c r="J79" s="24">
        <f aca="true" t="shared" si="20" ref="J79:O79">SUM(J77:J78)</f>
        <v>33</v>
      </c>
      <c r="K79" s="24">
        <f t="shared" si="20"/>
        <v>9</v>
      </c>
      <c r="L79" s="24">
        <f t="shared" si="20"/>
        <v>3</v>
      </c>
      <c r="M79" s="24">
        <f t="shared" si="20"/>
        <v>1</v>
      </c>
      <c r="N79" s="24">
        <f t="shared" si="20"/>
        <v>0</v>
      </c>
      <c r="O79" s="24">
        <f t="shared" si="20"/>
        <v>30</v>
      </c>
      <c r="P79" s="24">
        <f>SUM(J79:O79)</f>
        <v>76</v>
      </c>
      <c r="Q79" s="24">
        <f>SUM(Q77:Q78)</f>
        <v>5</v>
      </c>
      <c r="R79" s="24">
        <f>SUM(R77:R78)</f>
        <v>0</v>
      </c>
      <c r="S79" s="24">
        <f>SUM(S77:S78)</f>
        <v>0</v>
      </c>
      <c r="T79" s="24">
        <f>SUM(T77:T78)</f>
        <v>0</v>
      </c>
      <c r="U79" s="24">
        <f>SUM(U77:U78)</f>
        <v>93</v>
      </c>
      <c r="V79" s="26">
        <f>IF(I79-Q79=0,"",IF(D79="",(P79+S79)/(I79-Q79),IF(AND(D79&lt;&gt;"",(P79+S79)/(I79-Q79)&gt;=50%),(P79+S79)/(I79-Q79),"")))</f>
        <v>1</v>
      </c>
      <c r="W79" s="26">
        <f>IF(I79=O79,"",IF(V79="",0,(P79+Q79+S79-O79)/(I79-O79)))</f>
        <v>1</v>
      </c>
      <c r="X79" s="49"/>
      <c r="Y79" s="49"/>
      <c r="Z79" s="49"/>
      <c r="AA79" s="49"/>
      <c r="AB79" s="50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</row>
    <row r="80" spans="1:41" s="39" customFormat="1" ht="24.75" customHeight="1">
      <c r="A80" s="32"/>
      <c r="B80" s="115" t="s">
        <v>46</v>
      </c>
      <c r="C80" s="14" t="s">
        <v>2</v>
      </c>
      <c r="D80" s="29"/>
      <c r="E80" s="16" t="s">
        <v>27</v>
      </c>
      <c r="F80" s="15"/>
      <c r="G80" s="15"/>
      <c r="H80" s="15"/>
      <c r="I80" s="17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8"/>
      <c r="W80" s="18"/>
      <c r="X80" s="30"/>
      <c r="Y80" s="30"/>
      <c r="Z80" s="30"/>
      <c r="AA80" s="30"/>
      <c r="AB80" s="3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</row>
    <row r="81" spans="1:41" s="39" customFormat="1" ht="21" customHeight="1">
      <c r="A81" s="32">
        <v>26</v>
      </c>
      <c r="B81" s="115"/>
      <c r="C81" s="20" t="str">
        <f>IF(A81="","VARA",VLOOKUP(A81,'[1]varas'!$A$4:$B$67,2))</f>
        <v>1ª VT Cabo</v>
      </c>
      <c r="D81" s="15"/>
      <c r="E81" s="16"/>
      <c r="F81" s="15">
        <f>26+46+11+20</f>
        <v>103</v>
      </c>
      <c r="G81" s="15">
        <v>23</v>
      </c>
      <c r="H81" s="15">
        <v>0</v>
      </c>
      <c r="I81" s="17">
        <f>SUM(F81:H81)</f>
        <v>126</v>
      </c>
      <c r="J81" s="15">
        <v>36</v>
      </c>
      <c r="K81" s="15">
        <v>10</v>
      </c>
      <c r="L81" s="15">
        <v>5</v>
      </c>
      <c r="M81" s="15">
        <v>11</v>
      </c>
      <c r="N81" s="15">
        <v>2</v>
      </c>
      <c r="O81" s="15">
        <v>46</v>
      </c>
      <c r="P81" s="15">
        <f>SUM(J81:O81)</f>
        <v>110</v>
      </c>
      <c r="Q81" s="15">
        <v>14</v>
      </c>
      <c r="R81" s="15">
        <v>0</v>
      </c>
      <c r="S81" s="15">
        <v>0</v>
      </c>
      <c r="T81" s="15">
        <v>2</v>
      </c>
      <c r="U81" s="15">
        <v>156</v>
      </c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53" customFormat="1" ht="19.5" customHeight="1">
      <c r="A82" s="47"/>
      <c r="B82" s="115"/>
      <c r="C82" s="21" t="s">
        <v>12</v>
      </c>
      <c r="D82" s="51"/>
      <c r="E82" s="52"/>
      <c r="F82" s="24">
        <f>SUM(F80:F81)</f>
        <v>103</v>
      </c>
      <c r="G82" s="24">
        <f>SUM(G80:G81)</f>
        <v>23</v>
      </c>
      <c r="H82" s="24">
        <f>SUM(H80:H81)</f>
        <v>0</v>
      </c>
      <c r="I82" s="25">
        <f>SUM(F82:H82)</f>
        <v>126</v>
      </c>
      <c r="J82" s="24">
        <f aca="true" t="shared" si="21" ref="J82:O82">SUM(J80:J81)</f>
        <v>36</v>
      </c>
      <c r="K82" s="24">
        <f t="shared" si="21"/>
        <v>10</v>
      </c>
      <c r="L82" s="24">
        <f t="shared" si="21"/>
        <v>5</v>
      </c>
      <c r="M82" s="24">
        <f t="shared" si="21"/>
        <v>11</v>
      </c>
      <c r="N82" s="24">
        <f t="shared" si="21"/>
        <v>2</v>
      </c>
      <c r="O82" s="24">
        <f t="shared" si="21"/>
        <v>46</v>
      </c>
      <c r="P82" s="24">
        <f>SUM(J82:O82)</f>
        <v>110</v>
      </c>
      <c r="Q82" s="24">
        <f>SUM(Q80:Q81)</f>
        <v>14</v>
      </c>
      <c r="R82" s="24">
        <f>SUM(R80:R81)</f>
        <v>0</v>
      </c>
      <c r="S82" s="24">
        <f>SUM(S80:S81)</f>
        <v>0</v>
      </c>
      <c r="T82" s="24">
        <f>SUM(T80:T81)</f>
        <v>2</v>
      </c>
      <c r="U82" s="24">
        <f>SUM(U80:U81)</f>
        <v>156</v>
      </c>
      <c r="V82" s="26">
        <f>IF(I82-Q82=0,"",IF(D82="",(P82+S82)/(I82-Q82),IF(AND(D82&lt;&gt;"",(P82+S82)/(I82-Q82)&gt;=50%),(P82+S82)/(I82-Q82),"")))</f>
        <v>0.9821428571428571</v>
      </c>
      <c r="W82" s="26">
        <f>IF(I82=O82,"",IF(V82="",0,(P82+Q82+S82-O82)/(I82-O82)))</f>
        <v>0.975</v>
      </c>
      <c r="X82" s="49"/>
      <c r="Y82" s="49"/>
      <c r="Z82" s="49"/>
      <c r="AA82" s="49"/>
      <c r="AB82" s="50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1:41" s="39" customFormat="1" ht="21" customHeight="1">
      <c r="A83" s="32"/>
      <c r="B83" s="115" t="s">
        <v>47</v>
      </c>
      <c r="C83" s="14" t="s">
        <v>2</v>
      </c>
      <c r="D83" s="29" t="s">
        <v>30</v>
      </c>
      <c r="E83" s="16" t="s">
        <v>204</v>
      </c>
      <c r="F83" s="15"/>
      <c r="G83" s="15"/>
      <c r="H83" s="15"/>
      <c r="I83" s="17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8"/>
      <c r="W83" s="18"/>
      <c r="X83" s="30"/>
      <c r="Y83" s="30"/>
      <c r="Z83" s="30"/>
      <c r="AA83" s="30"/>
      <c r="AB83" s="3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1:41" s="39" customFormat="1" ht="18" customHeight="1">
      <c r="A84" s="32">
        <v>25</v>
      </c>
      <c r="B84" s="115"/>
      <c r="C84" s="20" t="str">
        <f>IF(A84="","VARA",VLOOKUP(A84,'[1]varas'!$A$4:$B$67,2))</f>
        <v>2ª VT Barreiros</v>
      </c>
      <c r="D84" s="29"/>
      <c r="E84" s="16"/>
      <c r="F84" s="15">
        <v>13</v>
      </c>
      <c r="G84" s="15">
        <v>16</v>
      </c>
      <c r="H84" s="15">
        <v>0</v>
      </c>
      <c r="I84" s="17">
        <f>SUM(F84:H84)</f>
        <v>29</v>
      </c>
      <c r="J84" s="15">
        <v>21</v>
      </c>
      <c r="K84" s="15">
        <v>1</v>
      </c>
      <c r="L84" s="15">
        <v>7</v>
      </c>
      <c r="M84" s="15">
        <v>0</v>
      </c>
      <c r="N84" s="15">
        <v>0</v>
      </c>
      <c r="O84" s="15">
        <v>0</v>
      </c>
      <c r="P84" s="15">
        <f>SUM(J84:O84)</f>
        <v>29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53" customFormat="1" ht="18.75" customHeight="1">
      <c r="A85" s="47"/>
      <c r="B85" s="115"/>
      <c r="C85" s="21" t="s">
        <v>12</v>
      </c>
      <c r="D85" s="51"/>
      <c r="E85" s="52"/>
      <c r="F85" s="24">
        <f>SUM(F83:F84)</f>
        <v>13</v>
      </c>
      <c r="G85" s="24">
        <f>SUM(G83:G84)</f>
        <v>16</v>
      </c>
      <c r="H85" s="24">
        <f>SUM(H83:H84)</f>
        <v>0</v>
      </c>
      <c r="I85" s="25">
        <f>SUM(F85:H85)</f>
        <v>29</v>
      </c>
      <c r="J85" s="24">
        <f aca="true" t="shared" si="22" ref="J85:O85">SUM(J83:J84)</f>
        <v>21</v>
      </c>
      <c r="K85" s="24">
        <f t="shared" si="22"/>
        <v>1</v>
      </c>
      <c r="L85" s="24">
        <f t="shared" si="22"/>
        <v>7</v>
      </c>
      <c r="M85" s="24">
        <f t="shared" si="22"/>
        <v>0</v>
      </c>
      <c r="N85" s="24">
        <f t="shared" si="22"/>
        <v>0</v>
      </c>
      <c r="O85" s="24">
        <f t="shared" si="22"/>
        <v>0</v>
      </c>
      <c r="P85" s="24">
        <f>SUM(J85:O85)</f>
        <v>29</v>
      </c>
      <c r="Q85" s="24">
        <f>SUM(Q83:Q84)</f>
        <v>0</v>
      </c>
      <c r="R85" s="24">
        <f>SUM(R83:R84)</f>
        <v>0</v>
      </c>
      <c r="S85" s="24">
        <f>SUM(S83:S84)</f>
        <v>0</v>
      </c>
      <c r="T85" s="24">
        <f>SUM(T83:T84)</f>
        <v>0</v>
      </c>
      <c r="U85" s="24">
        <f>SUM(U83:U84)</f>
        <v>0</v>
      </c>
      <c r="V85" s="26">
        <f>IF(I85-Q85=0,"",IF(D85="",(P85+S85)/(I85-Q85),IF(AND(D85&lt;&gt;"",(P85+S85)/(I85-Q85)&gt;=50%),(P85+S85)/(I85-Q85),"")))</f>
        <v>1</v>
      </c>
      <c r="W85" s="26">
        <f>IF(I85=O85,"",IF(V85="",0,(P85+Q85+S85-O85)/(I85-O85)))</f>
        <v>1</v>
      </c>
      <c r="X85" s="49"/>
      <c r="Y85" s="49"/>
      <c r="Z85" s="49"/>
      <c r="AA85" s="49"/>
      <c r="AB85" s="50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</row>
    <row r="86" spans="1:41" s="39" customFormat="1" ht="20.25" customHeight="1">
      <c r="A86" s="32"/>
      <c r="B86" s="115" t="s">
        <v>48</v>
      </c>
      <c r="C86" s="14" t="s">
        <v>161</v>
      </c>
      <c r="D86" s="29" t="s">
        <v>210</v>
      </c>
      <c r="E86" s="16" t="s">
        <v>211</v>
      </c>
      <c r="F86" s="15"/>
      <c r="G86" s="15"/>
      <c r="H86" s="15"/>
      <c r="I86" s="17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8"/>
      <c r="W86" s="18"/>
      <c r="X86" s="30"/>
      <c r="Y86" s="30"/>
      <c r="Z86" s="30"/>
      <c r="AA86" s="30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39" customFormat="1" ht="19.5" customHeight="1">
      <c r="A87" s="32">
        <v>14</v>
      </c>
      <c r="B87" s="115"/>
      <c r="C87" s="20" t="str">
        <f>IF(A87="","VARA",VLOOKUP(A87,'[1]varas'!$A$4:$B$67,2))</f>
        <v>14ª VT Recife</v>
      </c>
      <c r="D87" s="29"/>
      <c r="E87" s="16"/>
      <c r="F87" s="15">
        <f>27+24+16+5</f>
        <v>72</v>
      </c>
      <c r="G87" s="15">
        <v>14</v>
      </c>
      <c r="H87" s="15">
        <v>42</v>
      </c>
      <c r="I87" s="17">
        <f>SUM(F87:H87)</f>
        <v>128</v>
      </c>
      <c r="J87" s="15">
        <v>17</v>
      </c>
      <c r="K87" s="15">
        <v>9</v>
      </c>
      <c r="L87" s="15">
        <v>16</v>
      </c>
      <c r="M87" s="15">
        <v>5</v>
      </c>
      <c r="N87" s="15">
        <v>0</v>
      </c>
      <c r="O87" s="15">
        <v>24</v>
      </c>
      <c r="P87" s="15">
        <f>SUM(J87:O87)</f>
        <v>71</v>
      </c>
      <c r="Q87" s="15">
        <v>1</v>
      </c>
      <c r="R87" s="15">
        <v>56</v>
      </c>
      <c r="S87" s="15">
        <v>0</v>
      </c>
      <c r="T87" s="15">
        <v>0</v>
      </c>
      <c r="U87" s="15">
        <v>93</v>
      </c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39" customFormat="1" ht="15.75" customHeight="1">
      <c r="A88" s="32">
        <v>27</v>
      </c>
      <c r="B88" s="115"/>
      <c r="C88" s="20" t="str">
        <f>IF(A88="","VARA",VLOOKUP(A88,'[1]varas'!$A$4:$B$67,2))</f>
        <v>2ª VT Cabo</v>
      </c>
      <c r="D88" s="15"/>
      <c r="E88" s="16"/>
      <c r="F88" s="15">
        <v>0</v>
      </c>
      <c r="G88" s="15">
        <v>0</v>
      </c>
      <c r="H88" s="15">
        <v>1</v>
      </c>
      <c r="I88" s="17">
        <f>SUM(F88:H88)</f>
        <v>1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f>SUM(J88:O88)</f>
        <v>0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53" customFormat="1" ht="15.75" customHeight="1">
      <c r="A89" s="47"/>
      <c r="B89" s="115"/>
      <c r="C89" s="20" t="s">
        <v>12</v>
      </c>
      <c r="D89" s="24"/>
      <c r="E89" s="48"/>
      <c r="F89" s="24">
        <f>SUM(F86:F88)</f>
        <v>72</v>
      </c>
      <c r="G89" s="24">
        <f>SUM(G86:G88)</f>
        <v>14</v>
      </c>
      <c r="H89" s="24">
        <f>SUM(H86:H88)</f>
        <v>43</v>
      </c>
      <c r="I89" s="40">
        <f>SUM(F89:H89)</f>
        <v>129</v>
      </c>
      <c r="J89" s="24">
        <f aca="true" t="shared" si="23" ref="J89:O89">SUM(J86:J88)</f>
        <v>17</v>
      </c>
      <c r="K89" s="24">
        <f t="shared" si="23"/>
        <v>9</v>
      </c>
      <c r="L89" s="24">
        <f t="shared" si="23"/>
        <v>16</v>
      </c>
      <c r="M89" s="24">
        <f t="shared" si="23"/>
        <v>5</v>
      </c>
      <c r="N89" s="24">
        <f t="shared" si="23"/>
        <v>0</v>
      </c>
      <c r="O89" s="24">
        <f t="shared" si="23"/>
        <v>24</v>
      </c>
      <c r="P89" s="24">
        <f>SUM(J89:O89)</f>
        <v>71</v>
      </c>
      <c r="Q89" s="24">
        <f>SUM(Q86:Q88)</f>
        <v>1</v>
      </c>
      <c r="R89" s="24">
        <f>SUM(R86:R88)</f>
        <v>57</v>
      </c>
      <c r="S89" s="24">
        <f>SUM(S86:S88)</f>
        <v>0</v>
      </c>
      <c r="T89" s="24">
        <f>SUM(T86:T88)</f>
        <v>0</v>
      </c>
      <c r="U89" s="24">
        <f>SUM(U86:U88)</f>
        <v>93</v>
      </c>
      <c r="V89" s="26">
        <f>IF(I89-Q89=0,"",IF(D89="",(P89+S89)/(I89-Q89),IF(AND(D89&lt;&gt;"",(P89+S89)/(I89-Q89)&gt;=50%),(P89+S89)/(I89-Q89),"")))</f>
        <v>0.5546875</v>
      </c>
      <c r="W89" s="26">
        <f>IF(I89=O89,"",IF(V89="",0,(P89+Q89+S89-O89)/(I89-O89)))</f>
        <v>0.45714285714285713</v>
      </c>
      <c r="X89" s="49"/>
      <c r="Y89" s="49"/>
      <c r="Z89" s="49"/>
      <c r="AA89" s="49"/>
      <c r="AB89" s="50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1:41" s="39" customFormat="1" ht="20.25" customHeight="1">
      <c r="A90" s="32"/>
      <c r="B90" s="115" t="s">
        <v>49</v>
      </c>
      <c r="C90" s="14" t="s">
        <v>2</v>
      </c>
      <c r="D90" s="29" t="s">
        <v>43</v>
      </c>
      <c r="E90" s="16" t="s">
        <v>212</v>
      </c>
      <c r="F90" s="15"/>
      <c r="G90" s="15"/>
      <c r="H90" s="15"/>
      <c r="I90" s="17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8"/>
      <c r="W90" s="18"/>
      <c r="X90" s="30"/>
      <c r="Y90" s="30"/>
      <c r="Z90" s="30"/>
      <c r="AA90" s="30"/>
      <c r="AB90" s="34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39" customFormat="1" ht="16.5" customHeight="1">
      <c r="A91" s="32">
        <v>45</v>
      </c>
      <c r="B91" s="115"/>
      <c r="C91" s="20" t="str">
        <f>IF(A91="","VARA",VLOOKUP(A91,'[1]varas'!$A$4:$B$67,2))</f>
        <v>VT Araripina</v>
      </c>
      <c r="D91" s="15"/>
      <c r="E91" s="16"/>
      <c r="F91" s="15">
        <f>69+91+5+3</f>
        <v>168</v>
      </c>
      <c r="G91" s="15">
        <v>0</v>
      </c>
      <c r="H91" s="15">
        <v>42</v>
      </c>
      <c r="I91" s="17">
        <f>SUM(F91:H91)</f>
        <v>210</v>
      </c>
      <c r="J91" s="15">
        <v>51</v>
      </c>
      <c r="K91" s="15">
        <v>30</v>
      </c>
      <c r="L91" s="15">
        <v>5</v>
      </c>
      <c r="M91" s="15">
        <v>3</v>
      </c>
      <c r="N91" s="15">
        <v>0</v>
      </c>
      <c r="O91" s="15">
        <v>91</v>
      </c>
      <c r="P91" s="15">
        <f>SUM(J91:O91)</f>
        <v>180</v>
      </c>
      <c r="Q91" s="15">
        <v>0</v>
      </c>
      <c r="R91" s="15">
        <v>30</v>
      </c>
      <c r="S91" s="15">
        <v>0</v>
      </c>
      <c r="T91" s="15">
        <v>0</v>
      </c>
      <c r="U91" s="15">
        <v>222</v>
      </c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53" customFormat="1" ht="17.25" customHeight="1">
      <c r="A92" s="47"/>
      <c r="B92" s="121"/>
      <c r="C92" s="21" t="s">
        <v>12</v>
      </c>
      <c r="D92" s="51"/>
      <c r="E92" s="52"/>
      <c r="F92" s="24">
        <f>SUM(F90:F91)</f>
        <v>168</v>
      </c>
      <c r="G92" s="24">
        <f>SUM(G90:G91)</f>
        <v>0</v>
      </c>
      <c r="H92" s="24">
        <f>SUM(H90:H91)</f>
        <v>42</v>
      </c>
      <c r="I92" s="25">
        <f>SUM(F92:H92)</f>
        <v>210</v>
      </c>
      <c r="J92" s="24">
        <f aca="true" t="shared" si="24" ref="J92:O92">SUM(J90:J91)</f>
        <v>51</v>
      </c>
      <c r="K92" s="24">
        <f t="shared" si="24"/>
        <v>30</v>
      </c>
      <c r="L92" s="24">
        <f t="shared" si="24"/>
        <v>5</v>
      </c>
      <c r="M92" s="24">
        <f t="shared" si="24"/>
        <v>3</v>
      </c>
      <c r="N92" s="24">
        <f t="shared" si="24"/>
        <v>0</v>
      </c>
      <c r="O92" s="24">
        <f t="shared" si="24"/>
        <v>91</v>
      </c>
      <c r="P92" s="24">
        <f>SUM(J92:O92)</f>
        <v>180</v>
      </c>
      <c r="Q92" s="24">
        <f>SUM(Q90:Q91)</f>
        <v>0</v>
      </c>
      <c r="R92" s="24">
        <f>SUM(R90:R91)</f>
        <v>30</v>
      </c>
      <c r="S92" s="24">
        <f>SUM(S90:S91)</f>
        <v>0</v>
      </c>
      <c r="T92" s="24">
        <f>SUM(T90:T91)</f>
        <v>0</v>
      </c>
      <c r="U92" s="24">
        <f>SUM(U90:U91)</f>
        <v>222</v>
      </c>
      <c r="V92" s="26">
        <f>IF(I92-Q92=0,"",IF(D92="",(P92+S92)/(I92-Q92),IF(AND(D92&lt;&gt;"",(P92+S92)/(I92-Q92)&gt;=50%),(P92+S92)/(I92-Q92),"")))</f>
        <v>0.8571428571428571</v>
      </c>
      <c r="W92" s="26">
        <f>IF(I92=O92,"",IF(V92="",0,(P92+Q92+S92-O92)/(I92-O92)))</f>
        <v>0.7478991596638656</v>
      </c>
      <c r="X92" s="49"/>
      <c r="Y92" s="49"/>
      <c r="Z92" s="49"/>
      <c r="AA92" s="49"/>
      <c r="AB92" s="50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1:41" s="39" customFormat="1" ht="18.75" customHeight="1">
      <c r="A93" s="32"/>
      <c r="B93" s="122" t="s">
        <v>50</v>
      </c>
      <c r="C93" s="14" t="s">
        <v>2</v>
      </c>
      <c r="D93" s="29" t="s">
        <v>43</v>
      </c>
      <c r="E93" s="16" t="s">
        <v>213</v>
      </c>
      <c r="F93" s="15"/>
      <c r="G93" s="15"/>
      <c r="H93" s="15"/>
      <c r="I93" s="17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8"/>
      <c r="W93" s="18"/>
      <c r="X93" s="30"/>
      <c r="Y93" s="30"/>
      <c r="Z93" s="30"/>
      <c r="AA93" s="30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39" customFormat="1" ht="18" customHeight="1">
      <c r="A94" s="32">
        <v>17</v>
      </c>
      <c r="B94" s="115"/>
      <c r="C94" s="20" t="str">
        <f>IF(A94="","VARA",VLOOKUP(A94,'[1]varas'!$A$4:$B$67,2))</f>
        <v>17ª VT Recife</v>
      </c>
      <c r="D94" s="29"/>
      <c r="E94" s="16"/>
      <c r="F94" s="15">
        <v>0</v>
      </c>
      <c r="G94" s="15">
        <v>0</v>
      </c>
      <c r="H94" s="15">
        <v>0</v>
      </c>
      <c r="I94" s="17">
        <f>SUM(F94:H94)</f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f>SUM(J94:O94)</f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53" customFormat="1" ht="13.5" customHeight="1">
      <c r="A95" s="47"/>
      <c r="B95" s="115"/>
      <c r="C95" s="20" t="s">
        <v>12</v>
      </c>
      <c r="D95" s="24"/>
      <c r="E95" s="48"/>
      <c r="F95" s="24">
        <f>SUM(F93:F94)</f>
        <v>0</v>
      </c>
      <c r="G95" s="24">
        <f>SUM(G93:G94)</f>
        <v>0</v>
      </c>
      <c r="H95" s="24">
        <f>SUM(H93:H94)</f>
        <v>0</v>
      </c>
      <c r="I95" s="40">
        <f>SUM(F95:H95)</f>
        <v>0</v>
      </c>
      <c r="J95" s="24">
        <f aca="true" t="shared" si="25" ref="J95:O95">SUM(J93:J94)</f>
        <v>0</v>
      </c>
      <c r="K95" s="24">
        <f t="shared" si="25"/>
        <v>0</v>
      </c>
      <c r="L95" s="24">
        <f t="shared" si="25"/>
        <v>0</v>
      </c>
      <c r="M95" s="24">
        <f t="shared" si="25"/>
        <v>0</v>
      </c>
      <c r="N95" s="24">
        <f t="shared" si="25"/>
        <v>0</v>
      </c>
      <c r="O95" s="24">
        <f t="shared" si="25"/>
        <v>0</v>
      </c>
      <c r="P95" s="24">
        <f>SUM(J95:O95)</f>
        <v>0</v>
      </c>
      <c r="Q95" s="24">
        <f>SUM(Q93:Q94)</f>
        <v>0</v>
      </c>
      <c r="R95" s="24">
        <f>SUM(R93:R94)</f>
        <v>0</v>
      </c>
      <c r="S95" s="24">
        <f>SUM(S93:S94)</f>
        <v>0</v>
      </c>
      <c r="T95" s="24">
        <f>SUM(T93:T94)</f>
        <v>0</v>
      </c>
      <c r="U95" s="24">
        <f>SUM(U93:U94)</f>
        <v>0</v>
      </c>
      <c r="V95" s="26">
        <f>IF(I95-Q95=0,"",IF(D95="",(P95+S95)/(I95-Q95),IF(AND(D95&lt;&gt;"",(P95+S95)/(I95-Q95)&gt;=50%),(P95+S95)/(I95-Q95),"")))</f>
      </c>
      <c r="W95" s="26">
        <f>IF(I95=O95,"",IF(V95="",0,(P95+Q95+S95-O95)/(I95-O95)))</f>
      </c>
      <c r="X95" s="49"/>
      <c r="Y95" s="49"/>
      <c r="Z95" s="49"/>
      <c r="AA95" s="49"/>
      <c r="AB95" s="50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1:41" s="39" customFormat="1" ht="18.75" customHeight="1">
      <c r="A96" s="32"/>
      <c r="B96" s="115" t="s">
        <v>51</v>
      </c>
      <c r="C96" s="14" t="s">
        <v>2</v>
      </c>
      <c r="D96" s="29"/>
      <c r="E96" s="16" t="s">
        <v>27</v>
      </c>
      <c r="F96" s="15"/>
      <c r="G96" s="15"/>
      <c r="H96" s="15"/>
      <c r="I96" s="1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8"/>
      <c r="W96" s="18"/>
      <c r="X96" s="30"/>
      <c r="Y96" s="30"/>
      <c r="Z96" s="30"/>
      <c r="AA96" s="30"/>
      <c r="AB96" s="34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39" customFormat="1" ht="17.25" customHeight="1">
      <c r="A97" s="32">
        <v>7</v>
      </c>
      <c r="B97" s="115"/>
      <c r="C97" s="20" t="str">
        <f>IF(A97="","VARA",VLOOKUP(A97,'[1]varas'!$A$4:$B$67,2))</f>
        <v>7ª VT Recife</v>
      </c>
      <c r="D97" s="15"/>
      <c r="E97" s="16"/>
      <c r="F97" s="15">
        <f>68+55+8+6</f>
        <v>137</v>
      </c>
      <c r="G97" s="15">
        <v>16</v>
      </c>
      <c r="H97" s="15">
        <v>2</v>
      </c>
      <c r="I97" s="17">
        <f>SUM(F97:H97)</f>
        <v>155</v>
      </c>
      <c r="J97" s="15">
        <v>42</v>
      </c>
      <c r="K97" s="15">
        <v>24</v>
      </c>
      <c r="L97" s="15">
        <v>8</v>
      </c>
      <c r="M97" s="15">
        <v>6</v>
      </c>
      <c r="N97" s="15">
        <v>0</v>
      </c>
      <c r="O97" s="15">
        <v>55</v>
      </c>
      <c r="P97" s="15">
        <f>SUM(J97:O97)</f>
        <v>135</v>
      </c>
      <c r="Q97" s="15">
        <v>16</v>
      </c>
      <c r="R97" s="15">
        <v>4</v>
      </c>
      <c r="S97" s="15">
        <v>0</v>
      </c>
      <c r="T97" s="15">
        <v>0</v>
      </c>
      <c r="U97" s="15">
        <v>294</v>
      </c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53" customFormat="1" ht="15.75" customHeight="1">
      <c r="A98" s="47"/>
      <c r="B98" s="115"/>
      <c r="C98" s="21" t="s">
        <v>12</v>
      </c>
      <c r="D98" s="51"/>
      <c r="E98" s="52"/>
      <c r="F98" s="24">
        <f>SUM(F96:F97)</f>
        <v>137</v>
      </c>
      <c r="G98" s="24">
        <f>SUM(G96:G97)</f>
        <v>16</v>
      </c>
      <c r="H98" s="24">
        <f>SUM(H96:H97)</f>
        <v>2</v>
      </c>
      <c r="I98" s="25">
        <f>SUM(F98:H98)</f>
        <v>155</v>
      </c>
      <c r="J98" s="24">
        <f aca="true" t="shared" si="26" ref="J98:O98">SUM(J96:J97)</f>
        <v>42</v>
      </c>
      <c r="K98" s="24">
        <f t="shared" si="26"/>
        <v>24</v>
      </c>
      <c r="L98" s="24">
        <f t="shared" si="26"/>
        <v>8</v>
      </c>
      <c r="M98" s="24">
        <f t="shared" si="26"/>
        <v>6</v>
      </c>
      <c r="N98" s="24">
        <f t="shared" si="26"/>
        <v>0</v>
      </c>
      <c r="O98" s="24">
        <f t="shared" si="26"/>
        <v>55</v>
      </c>
      <c r="P98" s="24">
        <f>SUM(J98:O98)</f>
        <v>135</v>
      </c>
      <c r="Q98" s="24">
        <f>SUM(Q96:Q97)</f>
        <v>16</v>
      </c>
      <c r="R98" s="24">
        <f>SUM(R96:R97)</f>
        <v>4</v>
      </c>
      <c r="S98" s="24">
        <f>SUM(S96:S97)</f>
        <v>0</v>
      </c>
      <c r="T98" s="24">
        <f>SUM(T96:T97)</f>
        <v>0</v>
      </c>
      <c r="U98" s="24">
        <f>SUM(U96:U97)</f>
        <v>294</v>
      </c>
      <c r="V98" s="26">
        <f>IF(I98-Q98=0,"",IF(D98="",(P98+S98)/(I98-Q98),IF(AND(D98&lt;&gt;"",(P98+S98)/(I98-Q98)&gt;=50%),(P98+S98)/(I98-Q98),"")))</f>
        <v>0.9712230215827338</v>
      </c>
      <c r="W98" s="26">
        <f>IF(I98=O98,"",IF(V98="",0,(P98+Q98+S98-O98)/(I98-O98)))</f>
        <v>0.96</v>
      </c>
      <c r="X98" s="49"/>
      <c r="Y98" s="49"/>
      <c r="Z98" s="49"/>
      <c r="AA98" s="49"/>
      <c r="AB98" s="50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</row>
    <row r="99" spans="1:41" s="39" customFormat="1" ht="20.25" customHeight="1">
      <c r="A99" s="32"/>
      <c r="B99" s="115" t="s">
        <v>52</v>
      </c>
      <c r="C99" s="14" t="s">
        <v>161</v>
      </c>
      <c r="D99" s="29"/>
      <c r="E99" s="16" t="s">
        <v>27</v>
      </c>
      <c r="F99" s="15"/>
      <c r="G99" s="15"/>
      <c r="H99" s="15"/>
      <c r="I99" s="17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8"/>
      <c r="W99" s="18"/>
      <c r="X99" s="30"/>
      <c r="Y99" s="30"/>
      <c r="Z99" s="30"/>
      <c r="AA99" s="30"/>
      <c r="AB99" s="3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39" customFormat="1" ht="17.25" customHeight="1">
      <c r="A100" s="32">
        <v>7</v>
      </c>
      <c r="B100" s="115"/>
      <c r="C100" s="20" t="str">
        <f>IF(A100="","VARA",VLOOKUP(A100,'[1]varas'!$A$4:$B$67,2))</f>
        <v>7ª VT Recife</v>
      </c>
      <c r="D100" s="29"/>
      <c r="E100" s="16"/>
      <c r="F100" s="15">
        <f>52+25+3</f>
        <v>80</v>
      </c>
      <c r="G100" s="15">
        <v>22</v>
      </c>
      <c r="H100" s="15">
        <v>1</v>
      </c>
      <c r="I100" s="17">
        <f>SUM(F100:H100)</f>
        <v>103</v>
      </c>
      <c r="J100" s="15">
        <v>50</v>
      </c>
      <c r="K100" s="15">
        <v>6</v>
      </c>
      <c r="L100" s="15">
        <v>3</v>
      </c>
      <c r="M100" s="15">
        <v>0</v>
      </c>
      <c r="N100" s="15">
        <v>0</v>
      </c>
      <c r="O100" s="15">
        <v>25</v>
      </c>
      <c r="P100" s="15">
        <f>SUM(J100:O100)</f>
        <v>84</v>
      </c>
      <c r="Q100" s="15">
        <v>4</v>
      </c>
      <c r="R100" s="15">
        <v>15</v>
      </c>
      <c r="S100" s="15">
        <v>0</v>
      </c>
      <c r="T100" s="15">
        <v>0</v>
      </c>
      <c r="U100" s="15">
        <v>133</v>
      </c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53" customFormat="1" ht="17.25" customHeight="1">
      <c r="A101" s="47"/>
      <c r="B101" s="115"/>
      <c r="C101" s="20" t="s">
        <v>12</v>
      </c>
      <c r="D101" s="24"/>
      <c r="E101" s="48"/>
      <c r="F101" s="24">
        <f>SUM(F99:F100)</f>
        <v>80</v>
      </c>
      <c r="G101" s="24">
        <f>SUM(G99:G100)</f>
        <v>22</v>
      </c>
      <c r="H101" s="24">
        <f>SUM(H99:H100)</f>
        <v>1</v>
      </c>
      <c r="I101" s="40">
        <f>SUM(F101:H101)</f>
        <v>103</v>
      </c>
      <c r="J101" s="24">
        <f aca="true" t="shared" si="27" ref="J101:O101">SUM(J99:J100)</f>
        <v>50</v>
      </c>
      <c r="K101" s="24">
        <f t="shared" si="27"/>
        <v>6</v>
      </c>
      <c r="L101" s="24">
        <f t="shared" si="27"/>
        <v>3</v>
      </c>
      <c r="M101" s="24">
        <f t="shared" si="27"/>
        <v>0</v>
      </c>
      <c r="N101" s="24">
        <f t="shared" si="27"/>
        <v>0</v>
      </c>
      <c r="O101" s="24">
        <f t="shared" si="27"/>
        <v>25</v>
      </c>
      <c r="P101" s="24">
        <f>SUM(J101:O101)</f>
        <v>84</v>
      </c>
      <c r="Q101" s="24">
        <f>SUM(Q99:Q100)</f>
        <v>4</v>
      </c>
      <c r="R101" s="24">
        <f>SUM(R99:R100)</f>
        <v>15</v>
      </c>
      <c r="S101" s="24">
        <f>SUM(S99:S100)</f>
        <v>0</v>
      </c>
      <c r="T101" s="24">
        <f>SUM(T99:T100)</f>
        <v>0</v>
      </c>
      <c r="U101" s="24">
        <f>SUM(U99:U100)</f>
        <v>133</v>
      </c>
      <c r="V101" s="26">
        <f>IF(I101-Q101=0,"",IF(D101="",(P101+S101)/(I101-Q101),IF(AND(D101&lt;&gt;"",(P101+S101)/(I101-Q101)&gt;=50%),(P101+S101)/(I101-Q101),"")))</f>
        <v>0.8484848484848485</v>
      </c>
      <c r="W101" s="26">
        <f>IF(I101=O101,"",IF(V101="",0,(P101+Q101+S101-O101)/(I101-O101)))</f>
        <v>0.8076923076923077</v>
      </c>
      <c r="X101" s="49"/>
      <c r="Y101" s="49"/>
      <c r="Z101" s="49"/>
      <c r="AA101" s="49"/>
      <c r="AB101" s="50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</row>
    <row r="102" spans="1:41" s="39" customFormat="1" ht="21" customHeight="1">
      <c r="A102" s="32"/>
      <c r="B102" s="115" t="s">
        <v>53</v>
      </c>
      <c r="C102" s="14" t="s">
        <v>2</v>
      </c>
      <c r="D102" s="29" t="s">
        <v>43</v>
      </c>
      <c r="E102" s="16" t="s">
        <v>214</v>
      </c>
      <c r="F102" s="15"/>
      <c r="G102" s="15"/>
      <c r="H102" s="15"/>
      <c r="I102" s="17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8"/>
      <c r="W102" s="18"/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39" customFormat="1" ht="16.5" customHeight="1">
      <c r="A103" s="32">
        <v>57</v>
      </c>
      <c r="B103" s="115"/>
      <c r="C103" s="20" t="str">
        <f>IF(A103="","VARA",VLOOKUP(A103,'[1]varas'!$A$4:$B$67,2))</f>
        <v>VT S. Lourenço </v>
      </c>
      <c r="D103" s="15"/>
      <c r="E103" s="16"/>
      <c r="F103" s="15">
        <f>22+32+2</f>
        <v>56</v>
      </c>
      <c r="G103" s="15">
        <v>15</v>
      </c>
      <c r="H103" s="15">
        <v>49</v>
      </c>
      <c r="I103" s="17">
        <f>SUM(F103:H103)</f>
        <v>120</v>
      </c>
      <c r="J103" s="15">
        <v>5</v>
      </c>
      <c r="K103" s="15">
        <v>11</v>
      </c>
      <c r="L103" s="15">
        <v>2</v>
      </c>
      <c r="M103" s="15">
        <v>0</v>
      </c>
      <c r="N103" s="15">
        <v>0</v>
      </c>
      <c r="O103" s="15">
        <v>32</v>
      </c>
      <c r="P103" s="15">
        <f>SUM(J103:O103)</f>
        <v>50</v>
      </c>
      <c r="Q103" s="15">
        <v>12</v>
      </c>
      <c r="R103" s="15">
        <v>58</v>
      </c>
      <c r="S103" s="15">
        <v>0</v>
      </c>
      <c r="T103" s="15">
        <v>0</v>
      </c>
      <c r="U103" s="15">
        <v>137</v>
      </c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53" customFormat="1" ht="15.75" customHeight="1">
      <c r="A104" s="47"/>
      <c r="B104" s="115"/>
      <c r="C104" s="21" t="s">
        <v>12</v>
      </c>
      <c r="D104" s="51"/>
      <c r="E104" s="52"/>
      <c r="F104" s="24">
        <f>SUM(F102:F103)</f>
        <v>56</v>
      </c>
      <c r="G104" s="24">
        <f>SUM(G102:G103)</f>
        <v>15</v>
      </c>
      <c r="H104" s="24">
        <f>SUM(H102:H103)</f>
        <v>49</v>
      </c>
      <c r="I104" s="25">
        <f>SUM(F104:H104)</f>
        <v>120</v>
      </c>
      <c r="J104" s="24">
        <f aca="true" t="shared" si="28" ref="J104:O104">SUM(J102:J103)</f>
        <v>5</v>
      </c>
      <c r="K104" s="24">
        <f t="shared" si="28"/>
        <v>11</v>
      </c>
      <c r="L104" s="24">
        <f t="shared" si="28"/>
        <v>2</v>
      </c>
      <c r="M104" s="24">
        <f t="shared" si="28"/>
        <v>0</v>
      </c>
      <c r="N104" s="24">
        <f t="shared" si="28"/>
        <v>0</v>
      </c>
      <c r="O104" s="24">
        <f t="shared" si="28"/>
        <v>32</v>
      </c>
      <c r="P104" s="24">
        <f>SUM(J104:O104)</f>
        <v>50</v>
      </c>
      <c r="Q104" s="24">
        <f>SUM(Q102:Q103)</f>
        <v>12</v>
      </c>
      <c r="R104" s="24">
        <f>SUM(R102:R103)</f>
        <v>58</v>
      </c>
      <c r="S104" s="24">
        <f>SUM(S102:S103)</f>
        <v>0</v>
      </c>
      <c r="T104" s="24">
        <f>SUM(T102:T103)</f>
        <v>0</v>
      </c>
      <c r="U104" s="24">
        <f>SUM(U102:U103)</f>
        <v>137</v>
      </c>
      <c r="V104" s="26">
        <f>IF(I104-Q104=0,"",IF(D104="",(P104+S104)/(I104-Q104),IF(AND(D104&lt;&gt;"",(P104+S104)/(I104-Q104)&gt;=50%),(P104+S104)/(I104-Q104),"")))</f>
        <v>0.46296296296296297</v>
      </c>
      <c r="W104" s="26">
        <f>IF(I104=O104,"",IF(V104="",0,(P104+Q104+S104-O104)/(I104-O104)))</f>
        <v>0.3409090909090909</v>
      </c>
      <c r="X104" s="49"/>
      <c r="Y104" s="49"/>
      <c r="Z104" s="49"/>
      <c r="AA104" s="49"/>
      <c r="AB104" s="50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</row>
    <row r="105" spans="1:41" s="39" customFormat="1" ht="18" customHeight="1">
      <c r="A105" s="32"/>
      <c r="B105" s="115" t="s">
        <v>54</v>
      </c>
      <c r="C105" s="14" t="s">
        <v>180</v>
      </c>
      <c r="D105" s="29"/>
      <c r="E105" s="16" t="s">
        <v>27</v>
      </c>
      <c r="F105" s="15"/>
      <c r="G105" s="15"/>
      <c r="H105" s="15"/>
      <c r="I105" s="17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39" customFormat="1" ht="18" customHeight="1">
      <c r="A106" s="32">
        <v>5</v>
      </c>
      <c r="B106" s="115"/>
      <c r="C106" s="20" t="str">
        <f>IF(A106="","VARA",VLOOKUP(A106,'[1]varas'!$A$4:$B$67,2))</f>
        <v>5ª VT Recife</v>
      </c>
      <c r="D106" s="15"/>
      <c r="E106" s="16"/>
      <c r="F106" s="15">
        <f>51+38+7</f>
        <v>96</v>
      </c>
      <c r="G106" s="15">
        <v>13</v>
      </c>
      <c r="H106" s="15">
        <v>4</v>
      </c>
      <c r="I106" s="17">
        <f>SUM(F106:H106)</f>
        <v>113</v>
      </c>
      <c r="J106" s="15">
        <v>8</v>
      </c>
      <c r="K106" s="15">
        <v>18</v>
      </c>
      <c r="L106" s="15">
        <v>6</v>
      </c>
      <c r="M106" s="15">
        <v>1</v>
      </c>
      <c r="N106" s="15">
        <v>0</v>
      </c>
      <c r="O106" s="15">
        <v>38</v>
      </c>
      <c r="P106" s="15">
        <f>SUM(J106:O106)</f>
        <v>71</v>
      </c>
      <c r="Q106" s="15">
        <v>14</v>
      </c>
      <c r="R106" s="15">
        <v>28</v>
      </c>
      <c r="S106" s="15">
        <v>0</v>
      </c>
      <c r="T106" s="15">
        <v>0</v>
      </c>
      <c r="U106" s="15">
        <v>137</v>
      </c>
      <c r="V106" s="18"/>
      <c r="W106" s="18"/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18" customHeight="1">
      <c r="A107" s="32"/>
      <c r="B107" s="115"/>
      <c r="C107" s="21" t="s">
        <v>12</v>
      </c>
      <c r="D107" s="33"/>
      <c r="E107" s="23"/>
      <c r="F107" s="24">
        <f>SUM(F105:F106)</f>
        <v>96</v>
      </c>
      <c r="G107" s="24">
        <f>SUM(G105:G106)</f>
        <v>13</v>
      </c>
      <c r="H107" s="24">
        <f>SUM(H105:H106)</f>
        <v>4</v>
      </c>
      <c r="I107" s="40">
        <f>SUM(F107:H107)</f>
        <v>113</v>
      </c>
      <c r="J107" s="24">
        <f aca="true" t="shared" si="29" ref="J107:O107">SUM(J105:J106)</f>
        <v>8</v>
      </c>
      <c r="K107" s="24">
        <f t="shared" si="29"/>
        <v>18</v>
      </c>
      <c r="L107" s="24">
        <f t="shared" si="29"/>
        <v>6</v>
      </c>
      <c r="M107" s="24">
        <f t="shared" si="29"/>
        <v>1</v>
      </c>
      <c r="N107" s="24">
        <f t="shared" si="29"/>
        <v>0</v>
      </c>
      <c r="O107" s="24">
        <f t="shared" si="29"/>
        <v>38</v>
      </c>
      <c r="P107" s="24">
        <f>SUM(J107:O107)</f>
        <v>71</v>
      </c>
      <c r="Q107" s="24">
        <f>SUM(Q105:Q106)</f>
        <v>14</v>
      </c>
      <c r="R107" s="24">
        <f>SUM(R105:R106)</f>
        <v>28</v>
      </c>
      <c r="S107" s="24">
        <f>SUM(S105:S106)</f>
        <v>0</v>
      </c>
      <c r="T107" s="24">
        <f>SUM(T105:T106)</f>
        <v>0</v>
      </c>
      <c r="U107" s="24">
        <f>SUM(U105:U106)</f>
        <v>137</v>
      </c>
      <c r="V107" s="26">
        <f>IF(I107-Q107=0,"",IF(D107="",(P107+S107)/(I107-Q107),IF(AND(D107&lt;&gt;"",(P107+S107)/(I107-Q107)&gt;=50%),(P107+S107)/(I107-Q107),"")))</f>
        <v>0.7171717171717171</v>
      </c>
      <c r="W107" s="26">
        <f>IF(I107=O107,"",IF(V107="",0,(P107+Q107+S107-O107)/(I107-O107)))</f>
        <v>0.6266666666666667</v>
      </c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21.75" customHeight="1">
      <c r="A108" s="32"/>
      <c r="B108" s="115" t="s">
        <v>55</v>
      </c>
      <c r="C108" s="14" t="s">
        <v>2</v>
      </c>
      <c r="D108" s="15"/>
      <c r="E108" s="16" t="s">
        <v>27</v>
      </c>
      <c r="F108" s="15"/>
      <c r="G108" s="15"/>
      <c r="H108" s="15"/>
      <c r="I108" s="17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8"/>
      <c r="W108" s="18"/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18.75" customHeight="1">
      <c r="A109" s="32">
        <v>14</v>
      </c>
      <c r="B109" s="115"/>
      <c r="C109" s="20" t="str">
        <f>IF(A109="","VARA",VLOOKUP(A109,'[1]varas'!$A$4:$B$67,2))</f>
        <v>14ª VT Recife</v>
      </c>
      <c r="D109" s="15"/>
      <c r="E109" s="16"/>
      <c r="F109" s="15">
        <v>8</v>
      </c>
      <c r="G109" s="15">
        <v>0</v>
      </c>
      <c r="H109" s="15">
        <v>0</v>
      </c>
      <c r="I109" s="17">
        <f>SUM(F109:H109)</f>
        <v>8</v>
      </c>
      <c r="J109" s="15">
        <v>0</v>
      </c>
      <c r="K109" s="15">
        <v>1</v>
      </c>
      <c r="L109" s="15">
        <v>0</v>
      </c>
      <c r="M109" s="15">
        <v>0</v>
      </c>
      <c r="N109" s="15">
        <v>0</v>
      </c>
      <c r="O109" s="15">
        <v>4</v>
      </c>
      <c r="P109" s="15">
        <f>SUM(J109:O109)</f>
        <v>5</v>
      </c>
      <c r="Q109" s="15">
        <v>3</v>
      </c>
      <c r="R109" s="15">
        <v>0</v>
      </c>
      <c r="S109" s="15">
        <v>0</v>
      </c>
      <c r="T109" s="15">
        <v>0</v>
      </c>
      <c r="U109" s="15">
        <v>15</v>
      </c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39" customFormat="1" ht="21.75" customHeight="1">
      <c r="A110" s="32">
        <v>16</v>
      </c>
      <c r="B110" s="115"/>
      <c r="C110" s="20" t="str">
        <f>IF(A110="","VARA",VLOOKUP(A110,'[1]varas'!$A$4:$B$67,2))</f>
        <v>16ª VT Recife</v>
      </c>
      <c r="D110" s="15"/>
      <c r="E110" s="16"/>
      <c r="F110" s="15">
        <v>6</v>
      </c>
      <c r="G110" s="15">
        <v>0</v>
      </c>
      <c r="H110" s="15">
        <v>0</v>
      </c>
      <c r="I110" s="17">
        <f>SUM(F110:H110)</f>
        <v>6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2</v>
      </c>
      <c r="P110" s="15">
        <f>SUM(J110:O110)</f>
        <v>2</v>
      </c>
      <c r="Q110" s="15">
        <v>4</v>
      </c>
      <c r="R110" s="15">
        <v>0</v>
      </c>
      <c r="S110" s="15">
        <v>0</v>
      </c>
      <c r="T110" s="15">
        <v>0</v>
      </c>
      <c r="U110" s="15">
        <v>15</v>
      </c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39" customFormat="1" ht="19.5" customHeight="1">
      <c r="A111" s="32">
        <v>57</v>
      </c>
      <c r="B111" s="115"/>
      <c r="C111" s="20" t="str">
        <f>IF(A111="","VARA",VLOOKUP(A111,'[1]varas'!$A$4:$B$67,2))</f>
        <v>VT S. Lourenço </v>
      </c>
      <c r="D111" s="15"/>
      <c r="E111" s="16"/>
      <c r="F111" s="15">
        <f>11+31</f>
        <v>42</v>
      </c>
      <c r="G111" s="15">
        <v>11</v>
      </c>
      <c r="H111" s="15">
        <v>12</v>
      </c>
      <c r="I111" s="17">
        <f>SUM(F111:H111)</f>
        <v>65</v>
      </c>
      <c r="J111" s="15">
        <v>20</v>
      </c>
      <c r="K111" s="15">
        <v>5</v>
      </c>
      <c r="L111" s="15">
        <v>1</v>
      </c>
      <c r="M111" s="15">
        <v>0</v>
      </c>
      <c r="N111" s="15">
        <v>0</v>
      </c>
      <c r="O111" s="15">
        <v>30</v>
      </c>
      <c r="P111" s="15">
        <f>SUM(J111:O111)</f>
        <v>56</v>
      </c>
      <c r="Q111" s="15">
        <v>4</v>
      </c>
      <c r="R111" s="15">
        <v>5</v>
      </c>
      <c r="S111" s="15">
        <v>0</v>
      </c>
      <c r="T111" s="15">
        <v>0</v>
      </c>
      <c r="U111" s="15">
        <v>115</v>
      </c>
      <c r="V111" s="18"/>
      <c r="W111" s="18"/>
      <c r="X111" s="30"/>
      <c r="Y111" s="30"/>
      <c r="Z111" s="30"/>
      <c r="AA111" s="30"/>
      <c r="AB111" s="3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53" customFormat="1" ht="17.25" customHeight="1">
      <c r="A112" s="47"/>
      <c r="B112" s="115"/>
      <c r="C112" s="20" t="s">
        <v>12</v>
      </c>
      <c r="D112" s="24"/>
      <c r="E112" s="48"/>
      <c r="F112" s="24">
        <f>SUM(F108:F111)</f>
        <v>56</v>
      </c>
      <c r="G112" s="24">
        <f>SUM(G108:G111)</f>
        <v>11</v>
      </c>
      <c r="H112" s="24">
        <f>SUM(H108:H111)</f>
        <v>12</v>
      </c>
      <c r="I112" s="40">
        <f>SUM(F112:H112)</f>
        <v>79</v>
      </c>
      <c r="J112" s="24">
        <f aca="true" t="shared" si="30" ref="J112:O112">SUM(J108:J111)</f>
        <v>20</v>
      </c>
      <c r="K112" s="24">
        <f t="shared" si="30"/>
        <v>6</v>
      </c>
      <c r="L112" s="24">
        <f t="shared" si="30"/>
        <v>1</v>
      </c>
      <c r="M112" s="24">
        <f t="shared" si="30"/>
        <v>0</v>
      </c>
      <c r="N112" s="24">
        <f t="shared" si="30"/>
        <v>0</v>
      </c>
      <c r="O112" s="24">
        <f t="shared" si="30"/>
        <v>36</v>
      </c>
      <c r="P112" s="24">
        <f>SUM(J112:O112)</f>
        <v>63</v>
      </c>
      <c r="Q112" s="24">
        <f>SUM(Q108:Q111)</f>
        <v>11</v>
      </c>
      <c r="R112" s="24">
        <f>SUM(R108:R111)</f>
        <v>5</v>
      </c>
      <c r="S112" s="24">
        <f>SUM(S108:S111)</f>
        <v>0</v>
      </c>
      <c r="T112" s="24">
        <f>SUM(T108:T111)</f>
        <v>0</v>
      </c>
      <c r="U112" s="24">
        <f>SUM(U108:U111)</f>
        <v>145</v>
      </c>
      <c r="V112" s="26">
        <f>IF(I112-Q112=0,"",IF(D112="",(P112+S112)/(I112-Q112),IF(AND(D112&lt;&gt;"",(P112+S112)/(I112-Q112)&gt;=50%),(P112+S112)/(I112-Q112),"")))</f>
        <v>0.9264705882352942</v>
      </c>
      <c r="W112" s="26">
        <f>IF(I112=O112,"",IF(V112="",0,(P112+Q112+S112-O112)/(I112-O112)))</f>
        <v>0.8837209302325582</v>
      </c>
      <c r="X112" s="49"/>
      <c r="Y112" s="49"/>
      <c r="Z112" s="49"/>
      <c r="AA112" s="49"/>
      <c r="AB112" s="50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</row>
    <row r="113" spans="1:41" s="39" customFormat="1" ht="20.25" customHeight="1">
      <c r="A113" s="32"/>
      <c r="B113" s="115" t="s">
        <v>56</v>
      </c>
      <c r="C113" s="14" t="s">
        <v>2</v>
      </c>
      <c r="D113" s="29" t="s">
        <v>30</v>
      </c>
      <c r="E113" s="16" t="s">
        <v>204</v>
      </c>
      <c r="F113" s="15"/>
      <c r="G113" s="15"/>
      <c r="H113" s="15"/>
      <c r="I113" s="17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8"/>
      <c r="W113" s="18"/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39" customFormat="1" ht="17.25" customHeight="1">
      <c r="A114" s="32">
        <v>23</v>
      </c>
      <c r="B114" s="115"/>
      <c r="C114" s="20" t="str">
        <f>IF(A114="","VARA",VLOOKUP(A114,'[1]varas'!$A$4:$B$67,2))</f>
        <v>23ª VT Recife</v>
      </c>
      <c r="D114" s="15"/>
      <c r="E114" s="16"/>
      <c r="F114" s="15">
        <v>0</v>
      </c>
      <c r="G114" s="15">
        <v>3</v>
      </c>
      <c r="H114" s="15">
        <v>0</v>
      </c>
      <c r="I114" s="17">
        <f>SUM(F114:H114)</f>
        <v>3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f>SUM(J114:O114)</f>
        <v>0</v>
      </c>
      <c r="Q114" s="15">
        <v>2</v>
      </c>
      <c r="R114" s="15">
        <v>1</v>
      </c>
      <c r="S114" s="15">
        <v>0</v>
      </c>
      <c r="T114" s="15">
        <v>0</v>
      </c>
      <c r="U114" s="15">
        <v>0</v>
      </c>
      <c r="V114" s="18"/>
      <c r="W114" s="18"/>
      <c r="X114" s="30"/>
      <c r="Y114" s="30"/>
      <c r="Z114" s="30"/>
      <c r="AA114" s="30"/>
      <c r="AB114" s="34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53" customFormat="1" ht="17.25" customHeight="1">
      <c r="A115" s="47"/>
      <c r="B115" s="115"/>
      <c r="C115" s="21" t="s">
        <v>12</v>
      </c>
      <c r="D115" s="51"/>
      <c r="E115" s="52"/>
      <c r="F115" s="24">
        <f>SUM(F113:F114)</f>
        <v>0</v>
      </c>
      <c r="G115" s="24">
        <f>SUM(G113:G114)</f>
        <v>3</v>
      </c>
      <c r="H115" s="24">
        <f>SUM(H113:H114)</f>
        <v>0</v>
      </c>
      <c r="I115" s="25">
        <f>SUM(F115:H115)</f>
        <v>3</v>
      </c>
      <c r="J115" s="24">
        <f aca="true" t="shared" si="31" ref="J115:O115">SUM(J113:J114)</f>
        <v>0</v>
      </c>
      <c r="K115" s="24">
        <f t="shared" si="31"/>
        <v>0</v>
      </c>
      <c r="L115" s="24">
        <f t="shared" si="31"/>
        <v>0</v>
      </c>
      <c r="M115" s="24">
        <f t="shared" si="31"/>
        <v>0</v>
      </c>
      <c r="N115" s="24">
        <f t="shared" si="31"/>
        <v>0</v>
      </c>
      <c r="O115" s="24">
        <f t="shared" si="31"/>
        <v>0</v>
      </c>
      <c r="P115" s="24">
        <f>SUM(J115:O115)</f>
        <v>0</v>
      </c>
      <c r="Q115" s="24">
        <f>SUM(Q113:Q114)</f>
        <v>2</v>
      </c>
      <c r="R115" s="24">
        <f>SUM(R113:R114)</f>
        <v>1</v>
      </c>
      <c r="S115" s="24">
        <f>SUM(S113:S114)</f>
        <v>0</v>
      </c>
      <c r="T115" s="24">
        <f>SUM(T113:T114)</f>
        <v>0</v>
      </c>
      <c r="U115" s="24">
        <f>SUM(U113:U114)</f>
        <v>0</v>
      </c>
      <c r="V115" s="26">
        <f>IF(I115-Q115=0,"",IF(D115="",(P115+S115)/(I115-Q115),IF(AND(D115&lt;&gt;"",(P115+S115)/(I115-Q115)&gt;=50%),(P115+S115)/(I115-Q115),"")))</f>
        <v>0</v>
      </c>
      <c r="W115" s="26">
        <f>IF(I115=O115,"",IF(V115="",0,(P115+Q115+S115-O115)/(I115-O115)))</f>
        <v>0.6666666666666666</v>
      </c>
      <c r="X115" s="49"/>
      <c r="Y115" s="49"/>
      <c r="Z115" s="49"/>
      <c r="AA115" s="49"/>
      <c r="AB115" s="50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1:41" s="39" customFormat="1" ht="19.5" customHeight="1">
      <c r="A116" s="32"/>
      <c r="B116" s="115" t="s">
        <v>57</v>
      </c>
      <c r="C116" s="14" t="s">
        <v>158</v>
      </c>
      <c r="D116" s="15" t="s">
        <v>30</v>
      </c>
      <c r="E116" s="16" t="s">
        <v>204</v>
      </c>
      <c r="F116" s="15"/>
      <c r="G116" s="15"/>
      <c r="H116" s="15"/>
      <c r="I116" s="17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8"/>
      <c r="W116" s="18"/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18" customHeight="1">
      <c r="A117" s="32">
        <v>3</v>
      </c>
      <c r="B117" s="115"/>
      <c r="C117" s="20" t="str">
        <f>IF(A117="","VARA",VLOOKUP(A117,'[1]varas'!$A$4:$B$67,2))</f>
        <v>3ª VT Recife</v>
      </c>
      <c r="D117" s="15"/>
      <c r="E117" s="16"/>
      <c r="F117" s="15">
        <v>0</v>
      </c>
      <c r="G117" s="15">
        <v>17</v>
      </c>
      <c r="H117" s="15">
        <v>109</v>
      </c>
      <c r="I117" s="17">
        <f>SUM(F117:H117)</f>
        <v>126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f>SUM(J117:O117)</f>
        <v>0</v>
      </c>
      <c r="Q117" s="15">
        <v>17</v>
      </c>
      <c r="R117" s="15">
        <v>109</v>
      </c>
      <c r="S117" s="15">
        <v>0</v>
      </c>
      <c r="T117" s="15">
        <v>0</v>
      </c>
      <c r="U117" s="15">
        <v>0</v>
      </c>
      <c r="V117" s="18"/>
      <c r="W117" s="18"/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18" customHeight="1">
      <c r="A118" s="32">
        <v>23</v>
      </c>
      <c r="B118" s="115"/>
      <c r="C118" s="20" t="str">
        <f>IF(A118="","VARA",VLOOKUP(A118,'[1]varas'!$A$4:$B$67,2))</f>
        <v>23ª VT Recife</v>
      </c>
      <c r="D118" s="15"/>
      <c r="E118" s="16"/>
      <c r="F118" s="15">
        <v>0</v>
      </c>
      <c r="G118" s="15">
        <v>0</v>
      </c>
      <c r="H118" s="15">
        <v>4</v>
      </c>
      <c r="I118" s="17">
        <f>SUM(F118:H118)</f>
        <v>4</v>
      </c>
      <c r="J118" s="15">
        <v>4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f>SUM(J118:O118)</f>
        <v>4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8"/>
      <c r="W118" s="18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19.5" customHeight="1">
      <c r="A119" s="32"/>
      <c r="B119" s="115"/>
      <c r="C119" s="21" t="s">
        <v>12</v>
      </c>
      <c r="D119" s="33"/>
      <c r="E119" s="23"/>
      <c r="F119" s="24">
        <f>SUM(F116:F118)</f>
        <v>0</v>
      </c>
      <c r="G119" s="24">
        <f>SUM(G116:G118)</f>
        <v>17</v>
      </c>
      <c r="H119" s="24">
        <f>SUM(H116:H118)</f>
        <v>113</v>
      </c>
      <c r="I119" s="40">
        <f>SUM(F119:H119)</f>
        <v>130</v>
      </c>
      <c r="J119" s="24">
        <f aca="true" t="shared" si="32" ref="J119:O119">SUM(J116:J118)</f>
        <v>4</v>
      </c>
      <c r="K119" s="24">
        <f t="shared" si="32"/>
        <v>0</v>
      </c>
      <c r="L119" s="24">
        <f t="shared" si="32"/>
        <v>0</v>
      </c>
      <c r="M119" s="24">
        <f t="shared" si="32"/>
        <v>0</v>
      </c>
      <c r="N119" s="24">
        <f t="shared" si="32"/>
        <v>0</v>
      </c>
      <c r="O119" s="24">
        <f t="shared" si="32"/>
        <v>0</v>
      </c>
      <c r="P119" s="24">
        <f>SUM(J119:O119)</f>
        <v>4</v>
      </c>
      <c r="Q119" s="24">
        <f>SUM(Q116:Q118)</f>
        <v>17</v>
      </c>
      <c r="R119" s="24">
        <f>SUM(R116:R118)</f>
        <v>109</v>
      </c>
      <c r="S119" s="24">
        <f>SUM(S116:S118)</f>
        <v>0</v>
      </c>
      <c r="T119" s="24">
        <f>SUM(T116:T118)</f>
        <v>0</v>
      </c>
      <c r="U119" s="24">
        <f>SUM(U116:U118)</f>
        <v>0</v>
      </c>
      <c r="V119" s="26">
        <f>IF(I119-Q119=0,"",IF(D119="",(P119+S119)/(I119-Q119),IF(AND(D119&lt;&gt;"",(P119+S119)/(I119-Q119)&gt;=50%),(P119+S119)/(I119-Q119),"")))</f>
        <v>0.035398230088495575</v>
      </c>
      <c r="W119" s="26">
        <f>IF(I119=O119,"",IF(V119="",0,(P119+Q119+S119-O119)/(I119-O119)))</f>
        <v>0.16153846153846155</v>
      </c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19.5" customHeight="1">
      <c r="A120" s="32"/>
      <c r="B120" s="115" t="s">
        <v>58</v>
      </c>
      <c r="C120" s="14" t="s">
        <v>158</v>
      </c>
      <c r="D120" s="102"/>
      <c r="E120" s="23" t="s">
        <v>27</v>
      </c>
      <c r="F120" s="23"/>
      <c r="G120" s="23"/>
      <c r="H120" s="23"/>
      <c r="I120" s="40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6"/>
      <c r="W120" s="26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" customHeight="1">
      <c r="A121" s="32">
        <v>2</v>
      </c>
      <c r="B121" s="115"/>
      <c r="C121" s="20" t="str">
        <f>IF(A121="","VARA",VLOOKUP(A121,'[1]varas'!$A$4:$B$67,2))</f>
        <v>2ª VT Recife</v>
      </c>
      <c r="D121" s="15"/>
      <c r="E121" s="16"/>
      <c r="F121" s="15">
        <f>52+49+22+11</f>
        <v>134</v>
      </c>
      <c r="G121" s="15">
        <v>12</v>
      </c>
      <c r="H121" s="15">
        <v>1</v>
      </c>
      <c r="I121" s="17">
        <f aca="true" t="shared" si="33" ref="I121:I126">SUM(F121:H121)</f>
        <v>147</v>
      </c>
      <c r="J121" s="15">
        <v>10</v>
      </c>
      <c r="K121" s="15">
        <v>5</v>
      </c>
      <c r="L121" s="15">
        <v>22</v>
      </c>
      <c r="M121" s="15">
        <v>11</v>
      </c>
      <c r="N121" s="15">
        <v>0</v>
      </c>
      <c r="O121" s="15">
        <v>49</v>
      </c>
      <c r="P121" s="15">
        <f aca="true" t="shared" si="34" ref="P121:P126">SUM(J121:O121)</f>
        <v>97</v>
      </c>
      <c r="Q121" s="15">
        <v>39</v>
      </c>
      <c r="R121" s="15">
        <v>11</v>
      </c>
      <c r="S121" s="15">
        <v>0</v>
      </c>
      <c r="T121" s="15">
        <v>0</v>
      </c>
      <c r="U121" s="15">
        <v>240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0.25" customHeight="1">
      <c r="A122" s="32">
        <v>55</v>
      </c>
      <c r="B122" s="115"/>
      <c r="C122" s="20" t="str">
        <f>IF(A122="","VARA",VLOOKUP(A122,'[1]varas'!$A$4:$B$67,2))</f>
        <v>VT Pesqueira</v>
      </c>
      <c r="D122" s="15"/>
      <c r="E122" s="16"/>
      <c r="F122" s="15">
        <v>0</v>
      </c>
      <c r="G122" s="15">
        <v>11</v>
      </c>
      <c r="H122" s="15">
        <v>0</v>
      </c>
      <c r="I122" s="17">
        <f t="shared" si="33"/>
        <v>11</v>
      </c>
      <c r="J122" s="15">
        <v>11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t="shared" si="34"/>
        <v>11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18.75" customHeight="1">
      <c r="A123" s="32">
        <v>35</v>
      </c>
      <c r="B123" s="115"/>
      <c r="C123" s="20" t="str">
        <f>IF(A123="","VARA",VLOOKUP(A123,'[1]varas'!$A$4:$B$67,2))</f>
        <v>2ª VT Jaboatão</v>
      </c>
      <c r="D123" s="15"/>
      <c r="E123" s="16"/>
      <c r="F123" s="15">
        <v>0</v>
      </c>
      <c r="G123" s="15">
        <v>0</v>
      </c>
      <c r="H123" s="15">
        <v>1</v>
      </c>
      <c r="I123" s="17">
        <f t="shared" si="33"/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f t="shared" si="34"/>
        <v>0</v>
      </c>
      <c r="Q123" s="15">
        <v>0</v>
      </c>
      <c r="R123" s="15">
        <v>1</v>
      </c>
      <c r="S123" s="15">
        <v>0</v>
      </c>
      <c r="T123" s="15">
        <v>0</v>
      </c>
      <c r="U123" s="15">
        <v>0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1.75" customHeight="1">
      <c r="A124" s="32">
        <v>37</v>
      </c>
      <c r="B124" s="115"/>
      <c r="C124" s="20" t="str">
        <f>IF(A124="","VARA",VLOOKUP(A124,'[1]varas'!$A$4:$B$67,2))</f>
        <v>4ª VT Jaboatão</v>
      </c>
      <c r="D124" s="15"/>
      <c r="E124" s="16"/>
      <c r="F124" s="15">
        <v>0</v>
      </c>
      <c r="G124" s="15">
        <v>0</v>
      </c>
      <c r="H124" s="15">
        <v>5</v>
      </c>
      <c r="I124" s="17">
        <f t="shared" si="33"/>
        <v>5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f t="shared" si="34"/>
        <v>0</v>
      </c>
      <c r="Q124" s="15">
        <v>0</v>
      </c>
      <c r="R124" s="15">
        <v>5</v>
      </c>
      <c r="S124" s="15">
        <v>0</v>
      </c>
      <c r="T124" s="15">
        <v>0</v>
      </c>
      <c r="U124" s="15">
        <v>0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2.5" customHeight="1">
      <c r="A125" s="32">
        <v>66</v>
      </c>
      <c r="B125" s="115"/>
      <c r="C125" s="20" t="s">
        <v>167</v>
      </c>
      <c r="D125" s="15"/>
      <c r="E125" s="16"/>
      <c r="F125" s="15">
        <v>0</v>
      </c>
      <c r="G125" s="15">
        <v>0</v>
      </c>
      <c r="H125" s="15">
        <v>16</v>
      </c>
      <c r="I125" s="17">
        <f t="shared" si="33"/>
        <v>16</v>
      </c>
      <c r="J125" s="15">
        <v>9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 t="shared" si="34"/>
        <v>9</v>
      </c>
      <c r="Q125" s="15">
        <v>0</v>
      </c>
      <c r="R125" s="15">
        <v>7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17.25" customHeight="1">
      <c r="A126" s="32"/>
      <c r="B126" s="115"/>
      <c r="C126" s="21" t="s">
        <v>12</v>
      </c>
      <c r="D126" s="33"/>
      <c r="E126" s="23"/>
      <c r="F126" s="24">
        <f>SUM(F120:F125)</f>
        <v>134</v>
      </c>
      <c r="G126" s="24">
        <f>SUM(G120:G125)</f>
        <v>23</v>
      </c>
      <c r="H126" s="24">
        <f>SUM(H120:H125)</f>
        <v>23</v>
      </c>
      <c r="I126" s="25">
        <f t="shared" si="33"/>
        <v>180</v>
      </c>
      <c r="J126" s="24">
        <f aca="true" t="shared" si="35" ref="J126:O126">SUM(J120:J125)</f>
        <v>30</v>
      </c>
      <c r="K126" s="24">
        <f t="shared" si="35"/>
        <v>5</v>
      </c>
      <c r="L126" s="24">
        <f t="shared" si="35"/>
        <v>22</v>
      </c>
      <c r="M126" s="24">
        <f t="shared" si="35"/>
        <v>11</v>
      </c>
      <c r="N126" s="24">
        <f t="shared" si="35"/>
        <v>0</v>
      </c>
      <c r="O126" s="24">
        <f t="shared" si="35"/>
        <v>49</v>
      </c>
      <c r="P126" s="24">
        <f t="shared" si="34"/>
        <v>117</v>
      </c>
      <c r="Q126" s="24">
        <f>SUM(Q120:Q125)</f>
        <v>39</v>
      </c>
      <c r="R126" s="24">
        <f>SUM(R120:R125)</f>
        <v>24</v>
      </c>
      <c r="S126" s="24">
        <f>SUM(S120:S125)</f>
        <v>0</v>
      </c>
      <c r="T126" s="24">
        <f>SUM(T120:T125)</f>
        <v>0</v>
      </c>
      <c r="U126" s="24">
        <f>SUM(U120:U125)</f>
        <v>240</v>
      </c>
      <c r="V126" s="26">
        <f>IF(I126-Q126=0,"",IF(D126="",(P126+S126)/(I126-Q126),IF(AND(D126&lt;&gt;"",(P126+S126)/(I126-Q126)&gt;=50%),(P126+S126)/(I126-Q126),"")))</f>
        <v>0.8297872340425532</v>
      </c>
      <c r="W126" s="26">
        <f>IF(I126=O126,"",IF(V126="",0,(P126+Q126+S126-O126)/(I126-O126)))</f>
        <v>0.816793893129771</v>
      </c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20.25" customHeight="1">
      <c r="A127" s="32"/>
      <c r="B127" s="116" t="s">
        <v>160</v>
      </c>
      <c r="C127" s="89" t="s">
        <v>161</v>
      </c>
      <c r="D127" s="90"/>
      <c r="E127" s="91" t="s">
        <v>27</v>
      </c>
      <c r="F127" s="92"/>
      <c r="G127" s="92"/>
      <c r="H127" s="92"/>
      <c r="I127" s="93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4"/>
      <c r="W127" s="94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0.25" customHeight="1">
      <c r="A128" s="32">
        <v>3</v>
      </c>
      <c r="B128" s="116"/>
      <c r="C128" s="95" t="str">
        <f>IF(A128="","VARA",VLOOKUP(A128,'[1]varas'!$A$4:$B$67,2))</f>
        <v>3ª VT Recife</v>
      </c>
      <c r="D128" s="90"/>
      <c r="E128" s="91"/>
      <c r="F128" s="92">
        <v>0</v>
      </c>
      <c r="G128" s="92">
        <v>8</v>
      </c>
      <c r="H128" s="92">
        <v>0</v>
      </c>
      <c r="I128" s="93">
        <f>SUM(F128:H128)</f>
        <v>8</v>
      </c>
      <c r="J128" s="92">
        <v>8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f>SUM(J128:O128)</f>
        <v>8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4"/>
      <c r="W128" s="94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0.25" customHeight="1">
      <c r="A129" s="32">
        <v>11</v>
      </c>
      <c r="B129" s="116"/>
      <c r="C129" s="95" t="str">
        <f>IF(A129="","VARA",VLOOKUP(A129,'[1]varas'!$A$4:$B$67,2))</f>
        <v>11ª VT Recife</v>
      </c>
      <c r="D129" s="90"/>
      <c r="E129" s="91"/>
      <c r="F129" s="92">
        <v>0</v>
      </c>
      <c r="G129" s="92">
        <v>2</v>
      </c>
      <c r="H129" s="92">
        <v>0</v>
      </c>
      <c r="I129" s="93">
        <f>SUM(F129:H129)</f>
        <v>2</v>
      </c>
      <c r="J129" s="92">
        <v>2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f>SUM(J129:O129)</f>
        <v>2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4"/>
      <c r="W129" s="94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0.25" customHeight="1">
      <c r="A130" s="32">
        <v>14</v>
      </c>
      <c r="B130" s="116"/>
      <c r="C130" s="95" t="str">
        <f>IF(A130="","VARA",VLOOKUP(A130,'[1]varas'!$A$4:$B$67,2))</f>
        <v>14ª VT Recife</v>
      </c>
      <c r="D130" s="90"/>
      <c r="E130" s="91"/>
      <c r="F130" s="92">
        <f>38+34+26+9</f>
        <v>107</v>
      </c>
      <c r="G130" s="92">
        <v>0</v>
      </c>
      <c r="H130" s="92">
        <v>0</v>
      </c>
      <c r="I130" s="93">
        <f>SUM(F130:H130)</f>
        <v>107</v>
      </c>
      <c r="J130" s="92">
        <v>2</v>
      </c>
      <c r="K130" s="92">
        <v>9</v>
      </c>
      <c r="L130" s="92">
        <v>26</v>
      </c>
      <c r="M130" s="92">
        <v>9</v>
      </c>
      <c r="N130" s="92">
        <v>0</v>
      </c>
      <c r="O130" s="92">
        <v>34</v>
      </c>
      <c r="P130" s="92">
        <f>SUM(J130:O130)</f>
        <v>80</v>
      </c>
      <c r="Q130" s="92">
        <v>27</v>
      </c>
      <c r="R130" s="92">
        <v>0</v>
      </c>
      <c r="S130" s="92">
        <v>0</v>
      </c>
      <c r="T130" s="92">
        <v>0</v>
      </c>
      <c r="U130" s="92">
        <v>92</v>
      </c>
      <c r="V130" s="94"/>
      <c r="W130" s="94"/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0.25" customHeight="1">
      <c r="A131" s="32">
        <v>37</v>
      </c>
      <c r="B131" s="116"/>
      <c r="C131" s="95" t="str">
        <f>IF(A131="","VARA",VLOOKUP(A131,'[1]varas'!$A$4:$B$67,2))</f>
        <v>4ª VT Jaboatão</v>
      </c>
      <c r="D131" s="90"/>
      <c r="E131" s="91"/>
      <c r="F131" s="92">
        <f>27+25+4</f>
        <v>56</v>
      </c>
      <c r="G131" s="92">
        <v>0</v>
      </c>
      <c r="H131" s="92">
        <v>0</v>
      </c>
      <c r="I131" s="93">
        <f>SUM(F131:H131)</f>
        <v>56</v>
      </c>
      <c r="J131" s="92">
        <v>9</v>
      </c>
      <c r="K131" s="92">
        <v>9</v>
      </c>
      <c r="L131" s="92">
        <v>2</v>
      </c>
      <c r="M131" s="92">
        <v>2</v>
      </c>
      <c r="N131" s="92">
        <v>0</v>
      </c>
      <c r="O131" s="92">
        <v>25</v>
      </c>
      <c r="P131" s="92">
        <f>SUM(J131:O131)</f>
        <v>47</v>
      </c>
      <c r="Q131" s="92">
        <v>6</v>
      </c>
      <c r="R131" s="92">
        <v>3</v>
      </c>
      <c r="S131" s="92">
        <v>0</v>
      </c>
      <c r="T131" s="92">
        <v>0</v>
      </c>
      <c r="U131" s="92">
        <v>104</v>
      </c>
      <c r="V131" s="94"/>
      <c r="W131" s="94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3.25" customHeight="1">
      <c r="A132" s="32"/>
      <c r="B132" s="116"/>
      <c r="C132" s="96" t="s">
        <v>12</v>
      </c>
      <c r="D132" s="97"/>
      <c r="E132" s="98"/>
      <c r="F132" s="99">
        <f>SUM(F127:F131)</f>
        <v>163</v>
      </c>
      <c r="G132" s="99">
        <f>SUM(G127:G131)</f>
        <v>10</v>
      </c>
      <c r="H132" s="99">
        <f>SUM(H127:H131)</f>
        <v>0</v>
      </c>
      <c r="I132" s="100">
        <f>SUM(F132:H132)</f>
        <v>173</v>
      </c>
      <c r="J132" s="99">
        <f aca="true" t="shared" si="36" ref="J132:O132">SUM(J127:J131)</f>
        <v>21</v>
      </c>
      <c r="K132" s="99">
        <f t="shared" si="36"/>
        <v>18</v>
      </c>
      <c r="L132" s="99">
        <f t="shared" si="36"/>
        <v>28</v>
      </c>
      <c r="M132" s="99">
        <f t="shared" si="36"/>
        <v>11</v>
      </c>
      <c r="N132" s="99">
        <f t="shared" si="36"/>
        <v>0</v>
      </c>
      <c r="O132" s="99">
        <f t="shared" si="36"/>
        <v>59</v>
      </c>
      <c r="P132" s="99">
        <f>SUM(J132:O132)</f>
        <v>137</v>
      </c>
      <c r="Q132" s="99">
        <f>SUM(Q127:Q131)</f>
        <v>33</v>
      </c>
      <c r="R132" s="99">
        <f>SUM(R127:R131)</f>
        <v>3</v>
      </c>
      <c r="S132" s="99">
        <f>SUM(S127:S131)</f>
        <v>0</v>
      </c>
      <c r="T132" s="99">
        <f>SUM(T127:T131)</f>
        <v>0</v>
      </c>
      <c r="U132" s="99">
        <f>SUM(U127:U131)</f>
        <v>196</v>
      </c>
      <c r="V132" s="101">
        <f>IF(I132-Q132=0,"",IF(D132="",(P132+S132)/(I132-Q132),IF(AND(D132&lt;&gt;"",(P132+S132)/(I132-Q132)&gt;=50%),(P132+S132)/(I132-Q132),"")))</f>
        <v>0.9785714285714285</v>
      </c>
      <c r="W132" s="101">
        <f>IF(I132=O132,"",IF(V132="",0,(P132+Q132+S132-O132)/(I132-O132)))</f>
        <v>0.9736842105263158</v>
      </c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23.25" customHeight="1">
      <c r="A133" s="32"/>
      <c r="B133" s="115" t="s">
        <v>59</v>
      </c>
      <c r="C133" s="14" t="s">
        <v>2</v>
      </c>
      <c r="D133" s="29" t="s">
        <v>216</v>
      </c>
      <c r="E133" s="16" t="s">
        <v>217</v>
      </c>
      <c r="F133" s="15"/>
      <c r="G133" s="15"/>
      <c r="H133" s="15"/>
      <c r="I133" s="17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8"/>
      <c r="W133" s="18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39" customFormat="1" ht="22.5" customHeight="1">
      <c r="A134" s="32">
        <v>22</v>
      </c>
      <c r="B134" s="115"/>
      <c r="C134" s="20" t="str">
        <f>IF(A134="","VARA",VLOOKUP(A134,'[1]varas'!$A$4:$B$67,2))</f>
        <v>22ª VT Recife</v>
      </c>
      <c r="D134" s="15"/>
      <c r="E134" s="16"/>
      <c r="F134" s="15">
        <f>26+6</f>
        <v>32</v>
      </c>
      <c r="G134" s="15">
        <v>0</v>
      </c>
      <c r="H134" s="15">
        <v>3</v>
      </c>
      <c r="I134" s="17">
        <f>SUM(F134:H134)</f>
        <v>35</v>
      </c>
      <c r="J134" s="15">
        <v>9</v>
      </c>
      <c r="K134" s="15">
        <v>11</v>
      </c>
      <c r="L134" s="15">
        <v>0</v>
      </c>
      <c r="M134" s="15">
        <v>0</v>
      </c>
      <c r="N134" s="15">
        <v>0</v>
      </c>
      <c r="O134" s="15">
        <v>6</v>
      </c>
      <c r="P134" s="15">
        <f>SUM(J134:O134)</f>
        <v>26</v>
      </c>
      <c r="Q134" s="15">
        <v>9</v>
      </c>
      <c r="R134" s="15">
        <v>0</v>
      </c>
      <c r="S134" s="15">
        <v>0</v>
      </c>
      <c r="T134" s="15">
        <v>0</v>
      </c>
      <c r="U134" s="15">
        <v>64</v>
      </c>
      <c r="V134" s="18"/>
      <c r="W134" s="18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53" customFormat="1" ht="21" customHeight="1">
      <c r="A135" s="47"/>
      <c r="B135" s="115"/>
      <c r="C135" s="21" t="s">
        <v>12</v>
      </c>
      <c r="D135" s="51"/>
      <c r="E135" s="52"/>
      <c r="F135" s="24">
        <f>SUM(F133:F134)</f>
        <v>32</v>
      </c>
      <c r="G135" s="24">
        <f>SUM(G133:G134)</f>
        <v>0</v>
      </c>
      <c r="H135" s="24">
        <f>SUM(H133:H134)</f>
        <v>3</v>
      </c>
      <c r="I135" s="25">
        <f>SUM(F135:H135)</f>
        <v>35</v>
      </c>
      <c r="J135" s="24">
        <f aca="true" t="shared" si="37" ref="J135:O135">SUM(J133:J134)</f>
        <v>9</v>
      </c>
      <c r="K135" s="24">
        <f t="shared" si="37"/>
        <v>11</v>
      </c>
      <c r="L135" s="24">
        <f t="shared" si="37"/>
        <v>0</v>
      </c>
      <c r="M135" s="24">
        <f t="shared" si="37"/>
        <v>0</v>
      </c>
      <c r="N135" s="24">
        <f t="shared" si="37"/>
        <v>0</v>
      </c>
      <c r="O135" s="24">
        <f t="shared" si="37"/>
        <v>6</v>
      </c>
      <c r="P135" s="24">
        <f>SUM(J135:O135)</f>
        <v>26</v>
      </c>
      <c r="Q135" s="24">
        <f>SUM(Q133:Q134)</f>
        <v>9</v>
      </c>
      <c r="R135" s="24">
        <f>SUM(R133:R134)</f>
        <v>0</v>
      </c>
      <c r="S135" s="24">
        <f>SUM(S133:S134)</f>
        <v>0</v>
      </c>
      <c r="T135" s="24">
        <f>SUM(T133:T134)</f>
        <v>0</v>
      </c>
      <c r="U135" s="24">
        <f>SUM(U133:U134)</f>
        <v>64</v>
      </c>
      <c r="V135" s="26">
        <f>IF(I135-Q135=0,"",IF(D135="",(P135+S135)/(I135-Q135),IF(AND(D135&lt;&gt;"",(P135+S135)/(I135-Q135)&gt;=50%),(P135+S135)/(I135-Q135),"")))</f>
        <v>1</v>
      </c>
      <c r="W135" s="26">
        <f>IF(I135=O135,"",IF(V135="",0,(P135+Q135+S135-O135)/(I135-O135)))</f>
        <v>1</v>
      </c>
      <c r="X135" s="49"/>
      <c r="Y135" s="49"/>
      <c r="Z135" s="49"/>
      <c r="AA135" s="49"/>
      <c r="AB135" s="50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1:41" s="39" customFormat="1" ht="21" customHeight="1">
      <c r="A136" s="32"/>
      <c r="B136" s="115" t="s">
        <v>60</v>
      </c>
      <c r="C136" s="14" t="s">
        <v>161</v>
      </c>
      <c r="D136" s="15"/>
      <c r="E136" s="16" t="s">
        <v>27</v>
      </c>
      <c r="F136" s="15"/>
      <c r="G136" s="15"/>
      <c r="H136" s="15"/>
      <c r="I136" s="17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8"/>
      <c r="W136" s="18"/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1" customHeight="1">
      <c r="A137" s="32">
        <v>14</v>
      </c>
      <c r="B137" s="115"/>
      <c r="C137" s="20" t="str">
        <f>IF(A137="","VARA",VLOOKUP(A137,'[1]varas'!$A$4:$B$67,2))</f>
        <v>14ª VT Recife</v>
      </c>
      <c r="D137" s="15"/>
      <c r="E137" s="16"/>
      <c r="F137" s="15">
        <v>0</v>
      </c>
      <c r="G137" s="15">
        <v>3</v>
      </c>
      <c r="H137" s="15">
        <v>0</v>
      </c>
      <c r="I137" s="17">
        <f>SUM(F137:H137)</f>
        <v>3</v>
      </c>
      <c r="J137" s="15">
        <v>3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f>SUM(J137:O137)</f>
        <v>3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8"/>
      <c r="W137" s="18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1" customHeight="1">
      <c r="A138" s="32">
        <v>35</v>
      </c>
      <c r="B138" s="115"/>
      <c r="C138" s="20" t="str">
        <f>IF(A138="","VARA",VLOOKUP(A138,'[1]varas'!$A$4:$B$67,2))</f>
        <v>2ª VT Jaboatão</v>
      </c>
      <c r="D138" s="15"/>
      <c r="E138" s="16"/>
      <c r="F138" s="15">
        <v>1</v>
      </c>
      <c r="G138" s="15">
        <v>2</v>
      </c>
      <c r="H138" s="15">
        <v>0</v>
      </c>
      <c r="I138" s="17">
        <f>SUM(F138:H138)</f>
        <v>3</v>
      </c>
      <c r="J138" s="15">
        <v>3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f>SUM(J138:O138)</f>
        <v>3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39" customFormat="1" ht="21" customHeight="1">
      <c r="A139" s="32">
        <v>37</v>
      </c>
      <c r="B139" s="115"/>
      <c r="C139" s="20" t="str">
        <f>IF(A139="","VARA",VLOOKUP(A139,'[1]varas'!$A$4:$B$67,2))</f>
        <v>4ª VT Jaboatão</v>
      </c>
      <c r="D139" s="15"/>
      <c r="E139" s="16"/>
      <c r="F139" s="15">
        <v>0</v>
      </c>
      <c r="G139" s="15">
        <v>1</v>
      </c>
      <c r="H139" s="15">
        <v>0</v>
      </c>
      <c r="I139" s="17">
        <f>SUM(F139:H139)</f>
        <v>1</v>
      </c>
      <c r="J139" s="15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f>SUM(J139:O139)</f>
        <v>1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8"/>
      <c r="W139" s="18"/>
      <c r="X139" s="30"/>
      <c r="Y139" s="30"/>
      <c r="Z139" s="30"/>
      <c r="AA139" s="30"/>
      <c r="AB139" s="34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39" customFormat="1" ht="20.25" customHeight="1">
      <c r="A140" s="32">
        <v>25</v>
      </c>
      <c r="B140" s="115"/>
      <c r="C140" s="20" t="str">
        <f>IF(A140="","VARA",VLOOKUP(A140,'[1]varas'!$A$4:$B$67,2))</f>
        <v>2ª VT Barreiros</v>
      </c>
      <c r="D140" s="15"/>
      <c r="E140" s="16"/>
      <c r="F140" s="15">
        <f>59+76+32+7</f>
        <v>174</v>
      </c>
      <c r="G140" s="15">
        <v>0</v>
      </c>
      <c r="H140" s="15">
        <v>0</v>
      </c>
      <c r="I140" s="17">
        <f>SUM(F140:H140)</f>
        <v>174</v>
      </c>
      <c r="J140" s="15">
        <v>35</v>
      </c>
      <c r="K140" s="15">
        <v>4</v>
      </c>
      <c r="L140" s="15">
        <v>32</v>
      </c>
      <c r="M140" s="15">
        <v>7</v>
      </c>
      <c r="N140" s="15">
        <v>0</v>
      </c>
      <c r="O140" s="15">
        <v>76</v>
      </c>
      <c r="P140" s="15">
        <f>SUM(J140:O140)</f>
        <v>154</v>
      </c>
      <c r="Q140" s="15">
        <v>20</v>
      </c>
      <c r="R140" s="15">
        <v>0</v>
      </c>
      <c r="S140" s="15">
        <v>0</v>
      </c>
      <c r="T140" s="15">
        <v>0</v>
      </c>
      <c r="U140" s="15">
        <v>277</v>
      </c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53" customFormat="1" ht="18" customHeight="1">
      <c r="A141" s="47"/>
      <c r="B141" s="115"/>
      <c r="C141" s="20" t="s">
        <v>12</v>
      </c>
      <c r="D141" s="24"/>
      <c r="E141" s="48"/>
      <c r="F141" s="24">
        <f>SUM(F136:F140)</f>
        <v>175</v>
      </c>
      <c r="G141" s="24">
        <f>SUM(G136:G140)</f>
        <v>6</v>
      </c>
      <c r="H141" s="24">
        <f>SUM(H136:H140)</f>
        <v>0</v>
      </c>
      <c r="I141" s="40">
        <f>SUM(F141:H141)</f>
        <v>181</v>
      </c>
      <c r="J141" s="24">
        <f aca="true" t="shared" si="38" ref="J141:O141">SUM(J136:J140)</f>
        <v>42</v>
      </c>
      <c r="K141" s="24">
        <f t="shared" si="38"/>
        <v>4</v>
      </c>
      <c r="L141" s="24">
        <f t="shared" si="38"/>
        <v>32</v>
      </c>
      <c r="M141" s="24">
        <f t="shared" si="38"/>
        <v>7</v>
      </c>
      <c r="N141" s="24">
        <f t="shared" si="38"/>
        <v>0</v>
      </c>
      <c r="O141" s="24">
        <f t="shared" si="38"/>
        <v>76</v>
      </c>
      <c r="P141" s="24">
        <f>SUM(J141:O141)</f>
        <v>161</v>
      </c>
      <c r="Q141" s="24">
        <f>SUM(Q136:Q140)</f>
        <v>20</v>
      </c>
      <c r="R141" s="24">
        <f>SUM(R136:R140)</f>
        <v>0</v>
      </c>
      <c r="S141" s="24">
        <f>SUM(S136:S140)</f>
        <v>0</v>
      </c>
      <c r="T141" s="24">
        <f>SUM(T136:T140)</f>
        <v>0</v>
      </c>
      <c r="U141" s="24">
        <f>SUM(U136:U140)</f>
        <v>277</v>
      </c>
      <c r="V141" s="26">
        <f>IF(I141-Q141=0,"",IF(D141="",(P141+S141)/(I141-Q141),IF(AND(D141&lt;&gt;"",(P141+S141)/(I141-Q141)&gt;=50%),(P141+S141)/(I141-Q141),"")))</f>
        <v>1</v>
      </c>
      <c r="W141" s="26">
        <f>IF(I141=O141,"",IF(V141="",0,(P141+Q141+S141-O141)/(I141-O141)))</f>
        <v>1</v>
      </c>
      <c r="X141" s="49"/>
      <c r="Y141" s="49"/>
      <c r="Z141" s="49"/>
      <c r="AA141" s="49"/>
      <c r="AB141" s="50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</row>
    <row r="142" spans="1:41" s="39" customFormat="1" ht="22.5" customHeight="1">
      <c r="A142" s="32"/>
      <c r="B142" s="115" t="s">
        <v>61</v>
      </c>
      <c r="C142" s="14" t="s">
        <v>2</v>
      </c>
      <c r="D142" s="29" t="s">
        <v>30</v>
      </c>
      <c r="E142" s="16" t="s">
        <v>204</v>
      </c>
      <c r="F142" s="15"/>
      <c r="G142" s="15"/>
      <c r="H142" s="15"/>
      <c r="I142" s="17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2.5" customHeight="1">
      <c r="A143" s="32">
        <v>8</v>
      </c>
      <c r="B143" s="115"/>
      <c r="C143" s="20" t="str">
        <f>IF(A143="","VARA",VLOOKUP(A143,'[1]varas'!$A$4:$B$67,2))</f>
        <v>8ª VT Recife</v>
      </c>
      <c r="D143" s="15"/>
      <c r="E143" s="16"/>
      <c r="F143" s="15">
        <v>1</v>
      </c>
      <c r="G143" s="15">
        <v>8</v>
      </c>
      <c r="H143" s="15">
        <v>0</v>
      </c>
      <c r="I143" s="17">
        <f>SUM(F143:H143)</f>
        <v>9</v>
      </c>
      <c r="J143" s="15">
        <v>8</v>
      </c>
      <c r="K143" s="15">
        <v>0</v>
      </c>
      <c r="L143" s="15">
        <v>0</v>
      </c>
      <c r="M143" s="15">
        <v>1</v>
      </c>
      <c r="N143" s="15">
        <v>0</v>
      </c>
      <c r="O143" s="15">
        <v>0</v>
      </c>
      <c r="P143" s="15">
        <f>SUM(J143:O143)</f>
        <v>9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22.5" customHeight="1">
      <c r="A144" s="32">
        <v>14</v>
      </c>
      <c r="B144" s="115"/>
      <c r="C144" s="20" t="str">
        <f>IF(A144="","VARA",VLOOKUP(A144,'[1]varas'!$A$4:$B$67,2))</f>
        <v>14ª VT Recife</v>
      </c>
      <c r="D144" s="15"/>
      <c r="E144" s="16"/>
      <c r="F144" s="15">
        <v>0</v>
      </c>
      <c r="G144" s="15">
        <v>6</v>
      </c>
      <c r="H144" s="15">
        <v>0</v>
      </c>
      <c r="I144" s="17">
        <f>SUM(F144:H144)</f>
        <v>6</v>
      </c>
      <c r="J144" s="15">
        <v>6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f>SUM(J144:O144)</f>
        <v>6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53" customFormat="1" ht="15.75" customHeight="1">
      <c r="A145" s="47"/>
      <c r="B145" s="115"/>
      <c r="C145" s="20" t="s">
        <v>12</v>
      </c>
      <c r="D145" s="24"/>
      <c r="E145" s="48"/>
      <c r="F145" s="24">
        <f>SUM(F142:F144)</f>
        <v>1</v>
      </c>
      <c r="G145" s="24">
        <f>SUM(G142:G144)</f>
        <v>14</v>
      </c>
      <c r="H145" s="24">
        <f>SUM(H142:H144)</f>
        <v>0</v>
      </c>
      <c r="I145" s="40">
        <f>SUM(F145:H145)</f>
        <v>15</v>
      </c>
      <c r="J145" s="24">
        <f aca="true" t="shared" si="39" ref="J145:O145">SUM(J142:J144)</f>
        <v>14</v>
      </c>
      <c r="K145" s="24">
        <f t="shared" si="39"/>
        <v>0</v>
      </c>
      <c r="L145" s="24">
        <f t="shared" si="39"/>
        <v>0</v>
      </c>
      <c r="M145" s="24">
        <f t="shared" si="39"/>
        <v>1</v>
      </c>
      <c r="N145" s="24">
        <f t="shared" si="39"/>
        <v>0</v>
      </c>
      <c r="O145" s="24">
        <f t="shared" si="39"/>
        <v>0</v>
      </c>
      <c r="P145" s="24">
        <f>SUM(J145:O145)</f>
        <v>15</v>
      </c>
      <c r="Q145" s="24">
        <f>SUM(Q142:Q144)</f>
        <v>0</v>
      </c>
      <c r="R145" s="24">
        <f>SUM(R142:R144)</f>
        <v>0</v>
      </c>
      <c r="S145" s="24">
        <f>SUM(S142:S144)</f>
        <v>0</v>
      </c>
      <c r="T145" s="24">
        <f>SUM(T142:T144)</f>
        <v>0</v>
      </c>
      <c r="U145" s="24">
        <f>SUM(U142:U144)</f>
        <v>0</v>
      </c>
      <c r="V145" s="26">
        <f>IF(I145-Q145=0,"",IF(D145="",(P145+S145)/(I145-Q145),IF(AND(D145&lt;&gt;"",(P145+S145)/(I145-Q145)&gt;=50%),(P145+S145)/(I145-Q145),"")))</f>
        <v>1</v>
      </c>
      <c r="W145" s="26">
        <f>IF(I145=O145,"",IF(V145="",0,(P145+Q145+S145-O145)/(I145-O145)))</f>
        <v>1</v>
      </c>
      <c r="X145" s="49"/>
      <c r="Y145" s="49"/>
      <c r="Z145" s="49"/>
      <c r="AA145" s="49"/>
      <c r="AB145" s="50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:41" s="39" customFormat="1" ht="21" customHeight="1">
      <c r="A146" s="32"/>
      <c r="B146" s="115" t="s">
        <v>62</v>
      </c>
      <c r="C146" s="14" t="s">
        <v>2</v>
      </c>
      <c r="D146" s="29" t="s">
        <v>175</v>
      </c>
      <c r="E146" s="16" t="s">
        <v>176</v>
      </c>
      <c r="F146" s="15"/>
      <c r="G146" s="15"/>
      <c r="H146" s="15"/>
      <c r="I146" s="17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18" customHeight="1">
      <c r="A147" s="32">
        <v>21</v>
      </c>
      <c r="B147" s="115"/>
      <c r="C147" s="20" t="str">
        <f>IF(A147="","VARA",VLOOKUP(A147,'[1]varas'!$A$4:$B$67,2))</f>
        <v>21ª VT Recife</v>
      </c>
      <c r="D147" s="15"/>
      <c r="E147" s="16"/>
      <c r="F147" s="15">
        <f>67+21+6+6</f>
        <v>100</v>
      </c>
      <c r="G147" s="15">
        <v>0</v>
      </c>
      <c r="H147" s="15">
        <v>0</v>
      </c>
      <c r="I147" s="17">
        <f>SUM(F147:H147)</f>
        <v>100</v>
      </c>
      <c r="J147" s="15">
        <v>18</v>
      </c>
      <c r="K147" s="15">
        <v>17</v>
      </c>
      <c r="L147" s="15">
        <v>6</v>
      </c>
      <c r="M147" s="15">
        <v>6</v>
      </c>
      <c r="N147" s="15">
        <v>0</v>
      </c>
      <c r="O147" s="15">
        <v>21</v>
      </c>
      <c r="P147" s="15">
        <f>SUM(J147:O147)</f>
        <v>68</v>
      </c>
      <c r="Q147" s="15">
        <v>25</v>
      </c>
      <c r="R147" s="15">
        <v>7</v>
      </c>
      <c r="S147" s="15">
        <v>0</v>
      </c>
      <c r="T147" s="15">
        <v>0</v>
      </c>
      <c r="U147" s="15">
        <v>198</v>
      </c>
      <c r="V147" s="18"/>
      <c r="W147" s="18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39" customFormat="1" ht="15.75" customHeight="1">
      <c r="A148" s="32"/>
      <c r="B148" s="115"/>
      <c r="C148" s="21" t="s">
        <v>12</v>
      </c>
      <c r="D148" s="33"/>
      <c r="E148" s="23"/>
      <c r="F148" s="24">
        <f>SUM(F146:F147)</f>
        <v>100</v>
      </c>
      <c r="G148" s="24">
        <f>SUM(G146:G147)</f>
        <v>0</v>
      </c>
      <c r="H148" s="24">
        <f>SUM(H146:H147)</f>
        <v>0</v>
      </c>
      <c r="I148" s="40">
        <f>SUM(F148:H148)</f>
        <v>100</v>
      </c>
      <c r="J148" s="24">
        <f aca="true" t="shared" si="40" ref="J148:O148">SUM(J146:J147)</f>
        <v>18</v>
      </c>
      <c r="K148" s="24">
        <f t="shared" si="40"/>
        <v>17</v>
      </c>
      <c r="L148" s="24">
        <f t="shared" si="40"/>
        <v>6</v>
      </c>
      <c r="M148" s="24">
        <f t="shared" si="40"/>
        <v>6</v>
      </c>
      <c r="N148" s="24">
        <f t="shared" si="40"/>
        <v>0</v>
      </c>
      <c r="O148" s="24">
        <f t="shared" si="40"/>
        <v>21</v>
      </c>
      <c r="P148" s="24">
        <f>SUM(J148:O148)</f>
        <v>68</v>
      </c>
      <c r="Q148" s="24">
        <f>SUM(Q146:Q147)</f>
        <v>25</v>
      </c>
      <c r="R148" s="24">
        <f>SUM(R146:R147)</f>
        <v>7</v>
      </c>
      <c r="S148" s="24">
        <f>SUM(S146:S147)</f>
        <v>0</v>
      </c>
      <c r="T148" s="24">
        <f>SUM(T146:T147)</f>
        <v>0</v>
      </c>
      <c r="U148" s="24">
        <f>SUM(U146:U147)</f>
        <v>198</v>
      </c>
      <c r="V148" s="26">
        <f>IF(I148-Q148=0,"",IF(D148="",(P148+S148)/(I148-Q148),IF(AND(D148&lt;&gt;"",(P148+S148)/(I148-Q148)&gt;=50%),(P148+S148)/(I148-Q148),"")))</f>
        <v>0.9066666666666666</v>
      </c>
      <c r="W148" s="26">
        <f>IF(I148=O148,"",IF(V148="",0,(P148+Q148+S148-O148)/(I148-O148)))</f>
        <v>0.9113924050632911</v>
      </c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27" customHeight="1">
      <c r="A149" s="32"/>
      <c r="B149" s="124" t="s">
        <v>63</v>
      </c>
      <c r="C149" s="14" t="s">
        <v>183</v>
      </c>
      <c r="D149" s="29"/>
      <c r="E149" s="16" t="s">
        <v>27</v>
      </c>
      <c r="F149" s="15"/>
      <c r="G149" s="15"/>
      <c r="H149" s="15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20.25" customHeight="1">
      <c r="A150" s="32">
        <v>6</v>
      </c>
      <c r="B150" s="124"/>
      <c r="C150" s="20" t="str">
        <f>IF(A150="","VARA",VLOOKUP(A150,'[1]varas'!$A$4:$B$67,2))</f>
        <v>6ª VT Recife</v>
      </c>
      <c r="D150" s="29"/>
      <c r="E150" s="16"/>
      <c r="F150" s="15">
        <v>0</v>
      </c>
      <c r="G150" s="15">
        <v>0</v>
      </c>
      <c r="H150" s="15">
        <v>6</v>
      </c>
      <c r="I150" s="17">
        <f aca="true" t="shared" si="41" ref="I150:I158">SUM(F150:H150)</f>
        <v>6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f aca="true" t="shared" si="42" ref="P150:P158">SUM(J150:O150)</f>
        <v>0</v>
      </c>
      <c r="Q150" s="15">
        <v>0</v>
      </c>
      <c r="R150" s="15">
        <v>6</v>
      </c>
      <c r="S150" s="15">
        <v>0</v>
      </c>
      <c r="T150" s="15">
        <v>0</v>
      </c>
      <c r="U150" s="15">
        <v>0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39" customFormat="1" ht="20.25" customHeight="1">
      <c r="A151" s="32">
        <v>21</v>
      </c>
      <c r="B151" s="124"/>
      <c r="C151" s="20" t="str">
        <f>IF(A151="","VARA",VLOOKUP(A151,'[1]varas'!$A$4:$B$67,2))</f>
        <v>21ª VT Recife</v>
      </c>
      <c r="D151" s="29"/>
      <c r="E151" s="16"/>
      <c r="F151" s="15">
        <v>1</v>
      </c>
      <c r="G151" s="15">
        <v>0</v>
      </c>
      <c r="H151" s="15">
        <v>1</v>
      </c>
      <c r="I151" s="17">
        <f>SUM(F151:H151)</f>
        <v>2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f>SUM(J151:O151)</f>
        <v>0</v>
      </c>
      <c r="Q151" s="15">
        <v>1</v>
      </c>
      <c r="R151" s="15">
        <v>1</v>
      </c>
      <c r="S151" s="15">
        <v>0</v>
      </c>
      <c r="T151" s="15">
        <v>0</v>
      </c>
      <c r="U151" s="15">
        <v>0</v>
      </c>
      <c r="V151" s="18"/>
      <c r="W151" s="18"/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39" customFormat="1" ht="20.25" customHeight="1">
      <c r="A152" s="32">
        <v>24</v>
      </c>
      <c r="B152" s="124"/>
      <c r="C152" s="20" t="str">
        <f>IF(A152="","VARA",VLOOKUP(A152,'[1]varas'!$A$4:$B$67,2))</f>
        <v>1ª VT Barreiros</v>
      </c>
      <c r="D152" s="29"/>
      <c r="E152" s="16"/>
      <c r="F152" s="15">
        <v>0</v>
      </c>
      <c r="G152" s="15">
        <v>0</v>
      </c>
      <c r="H152" s="15">
        <v>8</v>
      </c>
      <c r="I152" s="17">
        <f>SUM(F152:H152)</f>
        <v>8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f>SUM(J152:O152)</f>
        <v>0</v>
      </c>
      <c r="Q152" s="15">
        <v>0</v>
      </c>
      <c r="R152" s="15">
        <v>8</v>
      </c>
      <c r="S152" s="15">
        <v>0</v>
      </c>
      <c r="T152" s="15">
        <v>0</v>
      </c>
      <c r="U152" s="15">
        <v>0</v>
      </c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19.5" customHeight="1">
      <c r="A153" s="32">
        <v>61</v>
      </c>
      <c r="B153" s="124"/>
      <c r="C153" s="20" t="str">
        <f>IF(A153="","VARA",VLOOKUP(A153,'[1]varas'!$A$4:$B$67,2))</f>
        <v>VT Vitória</v>
      </c>
      <c r="D153" s="29"/>
      <c r="E153" s="16"/>
      <c r="F153" s="15">
        <v>0</v>
      </c>
      <c r="G153" s="15">
        <v>0</v>
      </c>
      <c r="H153" s="15">
        <v>1</v>
      </c>
      <c r="I153" s="17">
        <f t="shared" si="41"/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f t="shared" si="42"/>
        <v>0</v>
      </c>
      <c r="Q153" s="15">
        <v>0</v>
      </c>
      <c r="R153" s="15">
        <v>0</v>
      </c>
      <c r="S153" s="15">
        <v>0</v>
      </c>
      <c r="T153" s="15">
        <v>1</v>
      </c>
      <c r="U153" s="15">
        <v>0</v>
      </c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18.75" customHeight="1">
      <c r="A154" s="32">
        <v>56</v>
      </c>
      <c r="B154" s="124"/>
      <c r="C154" s="20" t="str">
        <f>IF(A154="","VARA",VLOOKUP(A154,'[1]varas'!$A$4:$B$67,2))</f>
        <v>1ª VT Ribeirão</v>
      </c>
      <c r="D154" s="29"/>
      <c r="E154" s="16"/>
      <c r="F154" s="15">
        <v>19</v>
      </c>
      <c r="G154" s="15">
        <v>8</v>
      </c>
      <c r="H154" s="15">
        <v>16</v>
      </c>
      <c r="I154" s="17">
        <f t="shared" si="41"/>
        <v>43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8</v>
      </c>
      <c r="P154" s="15">
        <f t="shared" si="42"/>
        <v>8</v>
      </c>
      <c r="Q154" s="15">
        <v>0</v>
      </c>
      <c r="R154" s="15">
        <v>35</v>
      </c>
      <c r="S154" s="15">
        <v>0</v>
      </c>
      <c r="T154" s="15">
        <v>0</v>
      </c>
      <c r="U154" s="15">
        <v>30</v>
      </c>
      <c r="V154" s="18"/>
      <c r="W154" s="18"/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18.75" customHeight="1">
      <c r="A155" s="32">
        <v>70</v>
      </c>
      <c r="B155" s="124"/>
      <c r="C155" s="20" t="s">
        <v>179</v>
      </c>
      <c r="D155" s="29"/>
      <c r="E155" s="16"/>
      <c r="F155" s="15">
        <f>25+47+5</f>
        <v>77</v>
      </c>
      <c r="G155" s="15">
        <v>0</v>
      </c>
      <c r="H155" s="15">
        <v>0</v>
      </c>
      <c r="I155" s="17">
        <f>SUM(F155:H155)</f>
        <v>77</v>
      </c>
      <c r="J155" s="15">
        <v>22</v>
      </c>
      <c r="K155" s="15">
        <v>0</v>
      </c>
      <c r="L155" s="15">
        <v>5</v>
      </c>
      <c r="M155" s="15">
        <v>0</v>
      </c>
      <c r="N155" s="15">
        <v>0</v>
      </c>
      <c r="O155" s="15">
        <v>47</v>
      </c>
      <c r="P155" s="15">
        <f>SUM(J155:O155)</f>
        <v>74</v>
      </c>
      <c r="Q155" s="15">
        <v>0</v>
      </c>
      <c r="R155" s="15">
        <v>0</v>
      </c>
      <c r="S155" s="15">
        <v>0</v>
      </c>
      <c r="T155" s="15">
        <v>3</v>
      </c>
      <c r="U155" s="15">
        <v>180</v>
      </c>
      <c r="V155" s="18"/>
      <c r="W155" s="18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20.25" customHeight="1">
      <c r="A156" s="32">
        <v>36</v>
      </c>
      <c r="B156" s="124"/>
      <c r="C156" s="20" t="str">
        <f>IF(A156="","VARA",VLOOKUP(A156,'[1]varas'!$A$4:$B$67,2))</f>
        <v>3ª VT Jaboatão</v>
      </c>
      <c r="D156" s="29"/>
      <c r="E156" s="16"/>
      <c r="F156" s="15">
        <v>0</v>
      </c>
      <c r="G156" s="15">
        <v>0</v>
      </c>
      <c r="H156" s="15">
        <v>5</v>
      </c>
      <c r="I156" s="17">
        <f t="shared" si="41"/>
        <v>5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f t="shared" si="42"/>
        <v>0</v>
      </c>
      <c r="Q156" s="15">
        <v>0</v>
      </c>
      <c r="R156" s="15">
        <v>5</v>
      </c>
      <c r="S156" s="15">
        <v>0</v>
      </c>
      <c r="T156" s="15">
        <v>0</v>
      </c>
      <c r="U156" s="15">
        <v>0</v>
      </c>
      <c r="V156" s="18"/>
      <c r="W156" s="18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18.75" customHeight="1">
      <c r="A157" s="32">
        <v>66</v>
      </c>
      <c r="B157" s="124"/>
      <c r="C157" s="20" t="s">
        <v>167</v>
      </c>
      <c r="D157" s="29"/>
      <c r="E157" s="16"/>
      <c r="F157" s="15">
        <v>0</v>
      </c>
      <c r="G157" s="15">
        <v>0</v>
      </c>
      <c r="H157" s="15">
        <v>15</v>
      </c>
      <c r="I157" s="17">
        <f t="shared" si="41"/>
        <v>15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f t="shared" si="42"/>
        <v>0</v>
      </c>
      <c r="Q157" s="15">
        <v>0</v>
      </c>
      <c r="R157" s="15">
        <v>15</v>
      </c>
      <c r="S157" s="15">
        <v>0</v>
      </c>
      <c r="T157" s="15">
        <v>0</v>
      </c>
      <c r="U157" s="15">
        <v>0</v>
      </c>
      <c r="V157" s="18"/>
      <c r="W157" s="18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53" customFormat="1" ht="18" customHeight="1">
      <c r="A158" s="47"/>
      <c r="B158" s="125"/>
      <c r="C158" s="20" t="s">
        <v>12</v>
      </c>
      <c r="D158" s="24"/>
      <c r="E158" s="48"/>
      <c r="F158" s="24">
        <f>SUM(F149:F157)</f>
        <v>97</v>
      </c>
      <c r="G158" s="24">
        <f>SUM(G149:G157)</f>
        <v>8</v>
      </c>
      <c r="H158" s="24">
        <f>SUM(H149:H157)</f>
        <v>52</v>
      </c>
      <c r="I158" s="40">
        <f t="shared" si="41"/>
        <v>157</v>
      </c>
      <c r="J158" s="24">
        <f aca="true" t="shared" si="43" ref="J158:O158">SUM(J149:J157)</f>
        <v>22</v>
      </c>
      <c r="K158" s="24">
        <f t="shared" si="43"/>
        <v>0</v>
      </c>
      <c r="L158" s="24">
        <f t="shared" si="43"/>
        <v>5</v>
      </c>
      <c r="M158" s="24">
        <f t="shared" si="43"/>
        <v>0</v>
      </c>
      <c r="N158" s="24">
        <f t="shared" si="43"/>
        <v>0</v>
      </c>
      <c r="O158" s="24">
        <f t="shared" si="43"/>
        <v>55</v>
      </c>
      <c r="P158" s="24">
        <f t="shared" si="42"/>
        <v>82</v>
      </c>
      <c r="Q158" s="24">
        <f>SUM(Q149:Q157)</f>
        <v>1</v>
      </c>
      <c r="R158" s="24">
        <f>SUM(R149:R157)</f>
        <v>70</v>
      </c>
      <c r="S158" s="24">
        <f>SUM(S149:S157)</f>
        <v>0</v>
      </c>
      <c r="T158" s="24">
        <f>SUM(T149:T157)</f>
        <v>4</v>
      </c>
      <c r="U158" s="24">
        <f>SUM(U149:U157)</f>
        <v>210</v>
      </c>
      <c r="V158" s="26">
        <f>IF(I158-Q158=0,"",IF(D158="",(P158+S158)/(I158-Q158),IF(AND(D158&lt;&gt;"",(P158+S158)/(I158-Q158)&gt;=50%),(P158+S158)/(I158-Q158),"")))</f>
        <v>0.5256410256410257</v>
      </c>
      <c r="W158" s="26">
        <f>IF(I158=O158,"",IF(V158="",0,(P158+Q158+S158-O158)/(I158-O158)))</f>
        <v>0.27450980392156865</v>
      </c>
      <c r="X158" s="49"/>
      <c r="Y158" s="49"/>
      <c r="Z158" s="49"/>
      <c r="AA158" s="49"/>
      <c r="AB158" s="50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1" s="39" customFormat="1" ht="24" customHeight="1">
      <c r="A159" s="32"/>
      <c r="B159" s="122" t="s">
        <v>64</v>
      </c>
      <c r="C159" s="14" t="s">
        <v>161</v>
      </c>
      <c r="D159" s="29"/>
      <c r="E159" s="16" t="s">
        <v>27</v>
      </c>
      <c r="F159" s="15"/>
      <c r="G159" s="15"/>
      <c r="H159" s="15"/>
      <c r="I159" s="17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8"/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21" customHeight="1">
      <c r="A160" s="32">
        <v>44</v>
      </c>
      <c r="B160" s="115"/>
      <c r="C160" s="20" t="str">
        <f>IF(A160="","VARA",VLOOKUP(A160,'[1]varas'!$A$4:$B$67,2))</f>
        <v>2ª VT Petrolina</v>
      </c>
      <c r="D160" s="29"/>
      <c r="E160" s="16"/>
      <c r="F160" s="15">
        <f>56+46+9+3</f>
        <v>114</v>
      </c>
      <c r="G160" s="15">
        <v>10</v>
      </c>
      <c r="H160" s="15">
        <v>11</v>
      </c>
      <c r="I160" s="17">
        <f>SUM(F160:H160)</f>
        <v>135</v>
      </c>
      <c r="J160" s="15">
        <v>40</v>
      </c>
      <c r="K160" s="15">
        <v>1</v>
      </c>
      <c r="L160" s="15">
        <v>9</v>
      </c>
      <c r="M160" s="15">
        <v>3</v>
      </c>
      <c r="N160" s="15">
        <v>0</v>
      </c>
      <c r="O160" s="15">
        <v>46</v>
      </c>
      <c r="P160" s="15">
        <f>SUM(J160:O160)</f>
        <v>99</v>
      </c>
      <c r="Q160" s="15">
        <v>17</v>
      </c>
      <c r="R160" s="15">
        <v>19</v>
      </c>
      <c r="S160" s="15">
        <v>0</v>
      </c>
      <c r="T160" s="15">
        <v>0</v>
      </c>
      <c r="U160" s="15">
        <v>196</v>
      </c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17.25" customHeight="1">
      <c r="A161" s="32"/>
      <c r="B161" s="115"/>
      <c r="C161" s="21" t="s">
        <v>12</v>
      </c>
      <c r="D161" s="33"/>
      <c r="E161" s="23"/>
      <c r="F161" s="24">
        <f>SUM(F159:F160)</f>
        <v>114</v>
      </c>
      <c r="G161" s="24">
        <f>SUM(G159:G160)</f>
        <v>10</v>
      </c>
      <c r="H161" s="24">
        <f>SUM(H159:H160)</f>
        <v>11</v>
      </c>
      <c r="I161" s="40">
        <f>SUM(F161:H161)</f>
        <v>135</v>
      </c>
      <c r="J161" s="24">
        <f aca="true" t="shared" si="44" ref="J161:O161">SUM(J159:J160)</f>
        <v>40</v>
      </c>
      <c r="K161" s="24">
        <f t="shared" si="44"/>
        <v>1</v>
      </c>
      <c r="L161" s="24">
        <f t="shared" si="44"/>
        <v>9</v>
      </c>
      <c r="M161" s="24">
        <f t="shared" si="44"/>
        <v>3</v>
      </c>
      <c r="N161" s="24">
        <f t="shared" si="44"/>
        <v>0</v>
      </c>
      <c r="O161" s="24">
        <f t="shared" si="44"/>
        <v>46</v>
      </c>
      <c r="P161" s="24">
        <f>SUM(J161:O161)</f>
        <v>99</v>
      </c>
      <c r="Q161" s="24">
        <f>SUM(Q159:Q160)</f>
        <v>17</v>
      </c>
      <c r="R161" s="24">
        <f>SUM(R159:R160)</f>
        <v>19</v>
      </c>
      <c r="S161" s="24">
        <f>SUM(S159:S160)</f>
        <v>0</v>
      </c>
      <c r="T161" s="24">
        <f>SUM(T159:T160)</f>
        <v>0</v>
      </c>
      <c r="U161" s="24">
        <f>SUM(U159:U160)</f>
        <v>196</v>
      </c>
      <c r="V161" s="26">
        <f>IF(I161-Q161=0,"",IF(D161="",(P161+S161)/(I161-Q161),IF(AND(D161&lt;&gt;"",(P161+S161)/(I161-Q161)&gt;=50%),(P161+S161)/(I161-Q161),"")))</f>
        <v>0.8389830508474576</v>
      </c>
      <c r="W161" s="26">
        <f>IF(I161=O161,"",IF(V161="",0,(P161+Q161+S161-O161)/(I161-O161)))</f>
        <v>0.7865168539325843</v>
      </c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39" customFormat="1" ht="21" customHeight="1">
      <c r="A162" s="32"/>
      <c r="B162" s="115" t="s">
        <v>65</v>
      </c>
      <c r="C162" s="14" t="s">
        <v>2</v>
      </c>
      <c r="D162" s="29"/>
      <c r="E162" s="16" t="s">
        <v>27</v>
      </c>
      <c r="F162" s="15"/>
      <c r="G162" s="15"/>
      <c r="H162" s="15"/>
      <c r="I162" s="17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8"/>
      <c r="X162" s="30"/>
      <c r="Y162" s="30"/>
      <c r="Z162" s="30"/>
      <c r="AA162" s="30"/>
      <c r="AB162" s="34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</row>
    <row r="163" spans="1:41" s="39" customFormat="1" ht="16.5" customHeight="1">
      <c r="A163" s="32">
        <v>67</v>
      </c>
      <c r="B163" s="115"/>
      <c r="C163" s="20" t="s">
        <v>174</v>
      </c>
      <c r="D163" s="29"/>
      <c r="E163" s="16"/>
      <c r="F163" s="15">
        <f>39+86+2</f>
        <v>127</v>
      </c>
      <c r="G163" s="15">
        <v>3</v>
      </c>
      <c r="H163" s="15">
        <v>0</v>
      </c>
      <c r="I163" s="17">
        <f>SUM(F163:H163)</f>
        <v>130</v>
      </c>
      <c r="J163" s="15">
        <v>17</v>
      </c>
      <c r="K163" s="15">
        <v>15</v>
      </c>
      <c r="L163" s="15">
        <v>2</v>
      </c>
      <c r="M163" s="15">
        <v>0</v>
      </c>
      <c r="N163" s="15">
        <v>0</v>
      </c>
      <c r="O163" s="15">
        <v>86</v>
      </c>
      <c r="P163" s="15">
        <f>SUM(J163:O163)</f>
        <v>120</v>
      </c>
      <c r="Q163" s="15">
        <v>10</v>
      </c>
      <c r="R163" s="15">
        <v>0</v>
      </c>
      <c r="S163" s="15">
        <v>0</v>
      </c>
      <c r="T163" s="15">
        <v>0</v>
      </c>
      <c r="U163" s="15">
        <v>224</v>
      </c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53" customFormat="1" ht="15" customHeight="1">
      <c r="A164" s="47"/>
      <c r="B164" s="115"/>
      <c r="C164" s="21" t="s">
        <v>12</v>
      </c>
      <c r="D164" s="51"/>
      <c r="E164" s="52"/>
      <c r="F164" s="24">
        <f>SUM(F162:F163)</f>
        <v>127</v>
      </c>
      <c r="G164" s="24">
        <f>SUM(G162:G163)</f>
        <v>3</v>
      </c>
      <c r="H164" s="24">
        <f>SUM(H162:H163)</f>
        <v>0</v>
      </c>
      <c r="I164" s="25">
        <f>SUM(F164:H164)</f>
        <v>130</v>
      </c>
      <c r="J164" s="24">
        <f aca="true" t="shared" si="45" ref="J164:O164">SUM(J162:J163)</f>
        <v>17</v>
      </c>
      <c r="K164" s="24">
        <f t="shared" si="45"/>
        <v>15</v>
      </c>
      <c r="L164" s="24">
        <f t="shared" si="45"/>
        <v>2</v>
      </c>
      <c r="M164" s="24">
        <f t="shared" si="45"/>
        <v>0</v>
      </c>
      <c r="N164" s="24">
        <f t="shared" si="45"/>
        <v>0</v>
      </c>
      <c r="O164" s="24">
        <f t="shared" si="45"/>
        <v>86</v>
      </c>
      <c r="P164" s="24">
        <f>SUM(J164:O164)</f>
        <v>120</v>
      </c>
      <c r="Q164" s="24">
        <f>SUM(Q162:Q163)</f>
        <v>10</v>
      </c>
      <c r="R164" s="24">
        <f>SUM(R162:R163)</f>
        <v>0</v>
      </c>
      <c r="S164" s="24">
        <f>SUM(S162:S163)</f>
        <v>0</v>
      </c>
      <c r="T164" s="24">
        <f>SUM(T162:T163)</f>
        <v>0</v>
      </c>
      <c r="U164" s="24">
        <f>SUM(U162:U163)</f>
        <v>224</v>
      </c>
      <c r="V164" s="26">
        <f>IF(I164-Q164=0,"",IF(D164="",(P164+S164)/(I164-Q164),IF(AND(D164&lt;&gt;"",(P164+S164)/(I164-Q164)&gt;=50%),(P164+S164)/(I164-Q164),"")))</f>
        <v>1</v>
      </c>
      <c r="W164" s="26">
        <f>IF(I164=O164,"",IF(V164="",0,(P164+Q164+S164-O164)/(I164-O164)))</f>
        <v>1</v>
      </c>
      <c r="X164" s="49"/>
      <c r="Y164" s="49"/>
      <c r="Z164" s="49"/>
      <c r="AA164" s="49"/>
      <c r="AB164" s="50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</row>
    <row r="165" spans="1:41" s="39" customFormat="1" ht="19.5" customHeight="1">
      <c r="A165" s="32"/>
      <c r="B165" s="115" t="s">
        <v>66</v>
      </c>
      <c r="C165" s="14" t="s">
        <v>2</v>
      </c>
      <c r="D165" s="29"/>
      <c r="E165" s="16" t="s">
        <v>27</v>
      </c>
      <c r="F165" s="15"/>
      <c r="G165" s="15"/>
      <c r="H165" s="15"/>
      <c r="I165" s="17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8"/>
      <c r="X165" s="30"/>
      <c r="Y165" s="30"/>
      <c r="Z165" s="30"/>
      <c r="AA165" s="30"/>
      <c r="AB165" s="34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</row>
    <row r="166" spans="1:41" s="39" customFormat="1" ht="16.5" customHeight="1">
      <c r="A166" s="32">
        <v>41</v>
      </c>
      <c r="B166" s="115"/>
      <c r="C166" s="20" t="str">
        <f>IF(A166="","VARA",VLOOKUP(A166,'[1]varas'!$A$4:$B$67,2))</f>
        <v>1ª VT Paulista</v>
      </c>
      <c r="D166" s="15"/>
      <c r="E166" s="16"/>
      <c r="F166" s="15">
        <v>26</v>
      </c>
      <c r="G166" s="15">
        <v>0</v>
      </c>
      <c r="H166" s="15">
        <v>0</v>
      </c>
      <c r="I166" s="17">
        <f>SUM(F166:H166)</f>
        <v>26</v>
      </c>
      <c r="J166" s="15">
        <v>14</v>
      </c>
      <c r="K166" s="15">
        <v>0</v>
      </c>
      <c r="L166" s="15">
        <v>1</v>
      </c>
      <c r="M166" s="15">
        <v>0</v>
      </c>
      <c r="N166" s="15">
        <v>0</v>
      </c>
      <c r="O166" s="15">
        <v>6</v>
      </c>
      <c r="P166" s="15">
        <f>SUM(J166:O166)</f>
        <v>21</v>
      </c>
      <c r="Q166" s="15">
        <v>0</v>
      </c>
      <c r="R166" s="15">
        <v>5</v>
      </c>
      <c r="S166" s="15">
        <v>0</v>
      </c>
      <c r="T166" s="15">
        <v>0</v>
      </c>
      <c r="U166" s="15">
        <v>32</v>
      </c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16.5" customHeight="1">
      <c r="A167" s="32">
        <v>42</v>
      </c>
      <c r="B167" s="115"/>
      <c r="C167" s="20" t="str">
        <f>IF(A167="","VARA",VLOOKUP(A167,'[1]varas'!$A$4:$B$67,2))</f>
        <v>2ª VT Paulista</v>
      </c>
      <c r="D167" s="15"/>
      <c r="E167" s="16"/>
      <c r="F167" s="15">
        <f>56+16+14</f>
        <v>86</v>
      </c>
      <c r="G167" s="15">
        <v>0</v>
      </c>
      <c r="H167" s="15">
        <v>0</v>
      </c>
      <c r="I167" s="17">
        <f>SUM(F167:H167)</f>
        <v>86</v>
      </c>
      <c r="J167" s="15">
        <v>44</v>
      </c>
      <c r="K167" s="15">
        <v>5</v>
      </c>
      <c r="L167" s="15">
        <v>12</v>
      </c>
      <c r="M167" s="15">
        <v>1</v>
      </c>
      <c r="N167" s="15">
        <v>1</v>
      </c>
      <c r="O167" s="15">
        <v>16</v>
      </c>
      <c r="P167" s="15">
        <f>SUM(J167:O167)</f>
        <v>79</v>
      </c>
      <c r="Q167" s="15">
        <v>0</v>
      </c>
      <c r="R167" s="15">
        <v>7</v>
      </c>
      <c r="S167" s="15">
        <v>0</v>
      </c>
      <c r="T167" s="15">
        <v>0</v>
      </c>
      <c r="U167" s="15">
        <v>122</v>
      </c>
      <c r="V167" s="18"/>
      <c r="W167" s="18"/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39" customFormat="1" ht="19.5" customHeight="1">
      <c r="A168" s="32">
        <v>61</v>
      </c>
      <c r="B168" s="115"/>
      <c r="C168" s="20" t="str">
        <f>IF(A168="","VARA",VLOOKUP(A168,'[1]varas'!$A$4:$B$67,2))</f>
        <v>VT Vitória</v>
      </c>
      <c r="D168" s="15"/>
      <c r="E168" s="16"/>
      <c r="F168" s="15">
        <v>9</v>
      </c>
      <c r="G168" s="15">
        <v>0</v>
      </c>
      <c r="H168" s="15">
        <v>0</v>
      </c>
      <c r="I168" s="17">
        <f>SUM(F168:H168)</f>
        <v>9</v>
      </c>
      <c r="J168" s="15">
        <v>2</v>
      </c>
      <c r="K168" s="15">
        <v>2</v>
      </c>
      <c r="L168" s="15">
        <v>0</v>
      </c>
      <c r="M168" s="15">
        <v>0</v>
      </c>
      <c r="N168" s="15">
        <v>0</v>
      </c>
      <c r="O168" s="15">
        <v>5</v>
      </c>
      <c r="P168" s="15">
        <f>SUM(J168:O168)</f>
        <v>9</v>
      </c>
      <c r="Q168" s="15">
        <v>0</v>
      </c>
      <c r="R168" s="15">
        <v>0</v>
      </c>
      <c r="S168" s="15">
        <v>0</v>
      </c>
      <c r="T168" s="15">
        <v>0</v>
      </c>
      <c r="U168" s="15">
        <v>19</v>
      </c>
      <c r="V168" s="18"/>
      <c r="W168" s="18"/>
      <c r="X168" s="30"/>
      <c r="Y168" s="30"/>
      <c r="Z168" s="30"/>
      <c r="AA168" s="30"/>
      <c r="AB168" s="34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</row>
    <row r="169" spans="1:41" s="53" customFormat="1" ht="15" customHeight="1">
      <c r="A169" s="47"/>
      <c r="B169" s="115"/>
      <c r="C169" s="20" t="s">
        <v>12</v>
      </c>
      <c r="D169" s="24"/>
      <c r="E169" s="48"/>
      <c r="F169" s="24">
        <f>SUM(F165:F168)</f>
        <v>121</v>
      </c>
      <c r="G169" s="24">
        <f>SUM(G165:G168)</f>
        <v>0</v>
      </c>
      <c r="H169" s="24">
        <f>SUM(H165:H168)</f>
        <v>0</v>
      </c>
      <c r="I169" s="40">
        <f>SUM(F169:H169)</f>
        <v>121</v>
      </c>
      <c r="J169" s="24">
        <f aca="true" t="shared" si="46" ref="J169:O169">SUM(J165:J168)</f>
        <v>60</v>
      </c>
      <c r="K169" s="24">
        <f t="shared" si="46"/>
        <v>7</v>
      </c>
      <c r="L169" s="24">
        <f t="shared" si="46"/>
        <v>13</v>
      </c>
      <c r="M169" s="24">
        <f t="shared" si="46"/>
        <v>1</v>
      </c>
      <c r="N169" s="24">
        <f t="shared" si="46"/>
        <v>1</v>
      </c>
      <c r="O169" s="24">
        <f t="shared" si="46"/>
        <v>27</v>
      </c>
      <c r="P169" s="24">
        <f>SUM(J169:O169)</f>
        <v>109</v>
      </c>
      <c r="Q169" s="24">
        <f>SUM(Q165:Q168)</f>
        <v>0</v>
      </c>
      <c r="R169" s="24">
        <f>SUM(R165:R168)</f>
        <v>12</v>
      </c>
      <c r="S169" s="24">
        <f>SUM(S165:S168)</f>
        <v>0</v>
      </c>
      <c r="T169" s="24">
        <f>SUM(T165:T168)</f>
        <v>0</v>
      </c>
      <c r="U169" s="24">
        <f>SUM(U165:U168)</f>
        <v>173</v>
      </c>
      <c r="V169" s="26">
        <f>IF(I169-Q169=0,"",IF(D169="",(P169+S169)/(I169-Q169),IF(AND(D169&lt;&gt;"",(P169+S169)/(I169-Q169)&gt;=50%),(P169+S169)/(I169-Q169),"")))</f>
        <v>0.9008264462809917</v>
      </c>
      <c r="W169" s="26">
        <f>IF(I169=O169,"",IF(V169="",0,(P169+Q169+S169-O169)/(I169-O169)))</f>
        <v>0.8723404255319149</v>
      </c>
      <c r="X169" s="49"/>
      <c r="Y169" s="49"/>
      <c r="Z169" s="49"/>
      <c r="AA169" s="49"/>
      <c r="AB169" s="50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</row>
    <row r="170" spans="1:41" s="39" customFormat="1" ht="17.25" customHeight="1">
      <c r="A170" s="32"/>
      <c r="B170" s="115" t="s">
        <v>67</v>
      </c>
      <c r="C170" s="14" t="s">
        <v>2</v>
      </c>
      <c r="D170" s="29"/>
      <c r="E170" s="16" t="s">
        <v>27</v>
      </c>
      <c r="F170" s="15"/>
      <c r="G170" s="15"/>
      <c r="H170" s="15"/>
      <c r="I170" s="17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39" customFormat="1" ht="17.25" customHeight="1">
      <c r="A171" s="32">
        <v>68</v>
      </c>
      <c r="B171" s="115"/>
      <c r="C171" s="20" t="s">
        <v>181</v>
      </c>
      <c r="D171" s="15"/>
      <c r="E171" s="16"/>
      <c r="F171" s="15">
        <f>36+45+6</f>
        <v>87</v>
      </c>
      <c r="G171" s="15">
        <v>0</v>
      </c>
      <c r="H171" s="15">
        <v>0</v>
      </c>
      <c r="I171" s="17">
        <f>SUM(F171:H171)</f>
        <v>87</v>
      </c>
      <c r="J171" s="15">
        <v>24</v>
      </c>
      <c r="K171" s="15">
        <v>12</v>
      </c>
      <c r="L171" s="15">
        <v>6</v>
      </c>
      <c r="M171" s="15">
        <v>0</v>
      </c>
      <c r="N171" s="15">
        <v>0</v>
      </c>
      <c r="O171" s="15">
        <v>45</v>
      </c>
      <c r="P171" s="15">
        <f>SUM(J171:O171)</f>
        <v>87</v>
      </c>
      <c r="Q171" s="15">
        <v>0</v>
      </c>
      <c r="R171" s="15">
        <v>0</v>
      </c>
      <c r="S171" s="15">
        <v>0</v>
      </c>
      <c r="T171" s="15">
        <v>0</v>
      </c>
      <c r="U171" s="15">
        <v>177</v>
      </c>
      <c r="V171" s="18"/>
      <c r="W171" s="18"/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53" customFormat="1" ht="15.75" customHeight="1">
      <c r="A172" s="47"/>
      <c r="B172" s="115"/>
      <c r="C172" s="20" t="s">
        <v>12</v>
      </c>
      <c r="D172" s="24"/>
      <c r="E172" s="48"/>
      <c r="F172" s="24">
        <f>SUM(F170:F171)</f>
        <v>87</v>
      </c>
      <c r="G172" s="24">
        <f>SUM(G170:G171)</f>
        <v>0</v>
      </c>
      <c r="H172" s="24">
        <f>SUM(H170:H171)</f>
        <v>0</v>
      </c>
      <c r="I172" s="40">
        <f>SUM(F172:H172)</f>
        <v>87</v>
      </c>
      <c r="J172" s="24">
        <f aca="true" t="shared" si="47" ref="J172:O172">SUM(J170:J171)</f>
        <v>24</v>
      </c>
      <c r="K172" s="24">
        <f t="shared" si="47"/>
        <v>12</v>
      </c>
      <c r="L172" s="24">
        <f t="shared" si="47"/>
        <v>6</v>
      </c>
      <c r="M172" s="24">
        <f t="shared" si="47"/>
        <v>0</v>
      </c>
      <c r="N172" s="24">
        <f t="shared" si="47"/>
        <v>0</v>
      </c>
      <c r="O172" s="24">
        <f t="shared" si="47"/>
        <v>45</v>
      </c>
      <c r="P172" s="24">
        <f>SUM(J172:O172)</f>
        <v>87</v>
      </c>
      <c r="Q172" s="24">
        <f>SUM(Q170:Q171)</f>
        <v>0</v>
      </c>
      <c r="R172" s="24">
        <f>SUM(R170:R171)</f>
        <v>0</v>
      </c>
      <c r="S172" s="24">
        <f>SUM(S170:S171)</f>
        <v>0</v>
      </c>
      <c r="T172" s="24">
        <f>SUM(T170:T171)</f>
        <v>0</v>
      </c>
      <c r="U172" s="24">
        <f>SUM(U170:U171)</f>
        <v>177</v>
      </c>
      <c r="V172" s="26">
        <f>IF(I172-Q172=0,"",IF(D172="",(P172+S172)/(I172-Q172),IF(AND(D172&lt;&gt;"",(P172+S172)/(I172-Q172)&gt;=50%),(P172+S172)/(I172-Q172),"")))</f>
        <v>1</v>
      </c>
      <c r="W172" s="26">
        <f>IF(I172=O172,"",IF(V172="",0,(P172+Q172+S172-O172)/(I172-O172)))</f>
        <v>1</v>
      </c>
      <c r="X172" s="49"/>
      <c r="Y172" s="49"/>
      <c r="Z172" s="49"/>
      <c r="AA172" s="49"/>
      <c r="AB172" s="50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53" customFormat="1" ht="15.75" customHeight="1">
      <c r="A173" s="47"/>
      <c r="B173" s="115" t="s">
        <v>186</v>
      </c>
      <c r="C173" s="14" t="s">
        <v>2</v>
      </c>
      <c r="D173" s="29" t="s">
        <v>30</v>
      </c>
      <c r="E173" s="16" t="s">
        <v>204</v>
      </c>
      <c r="F173" s="15"/>
      <c r="G173" s="15"/>
      <c r="H173" s="15"/>
      <c r="I173" s="17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8"/>
      <c r="X173" s="49"/>
      <c r="Y173" s="49"/>
      <c r="Z173" s="49"/>
      <c r="AA173" s="49"/>
      <c r="AB173" s="50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</row>
    <row r="174" spans="1:41" s="53" customFormat="1" ht="15.75" customHeight="1">
      <c r="A174" s="32">
        <v>54</v>
      </c>
      <c r="B174" s="115"/>
      <c r="C174" s="20" t="str">
        <f>IF(A174="","VARA",VLOOKUP(A174,'[1]varas'!$A$4:$B$67,2))</f>
        <v>1ª VT Palmares</v>
      </c>
      <c r="D174" s="15"/>
      <c r="E174" s="16"/>
      <c r="F174" s="15">
        <v>0</v>
      </c>
      <c r="G174" s="15">
        <v>1</v>
      </c>
      <c r="H174" s="15">
        <v>0</v>
      </c>
      <c r="I174" s="17">
        <f>SUM(F174:H174)</f>
        <v>1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f>SUM(J174:O174)</f>
        <v>0</v>
      </c>
      <c r="Q174" s="15">
        <v>1</v>
      </c>
      <c r="R174" s="15">
        <v>0</v>
      </c>
      <c r="S174" s="15">
        <v>0</v>
      </c>
      <c r="T174" s="15">
        <v>0</v>
      </c>
      <c r="U174" s="15">
        <v>0</v>
      </c>
      <c r="V174" s="18"/>
      <c r="W174" s="18"/>
      <c r="X174" s="49"/>
      <c r="Y174" s="49"/>
      <c r="Z174" s="49"/>
      <c r="AA174" s="49"/>
      <c r="AB174" s="50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53" customFormat="1" ht="15.75" customHeight="1">
      <c r="A175" s="47"/>
      <c r="B175" s="115"/>
      <c r="C175" s="20" t="s">
        <v>12</v>
      </c>
      <c r="D175" s="24"/>
      <c r="E175" s="48"/>
      <c r="F175" s="24">
        <f>SUM(F173:F174)</f>
        <v>0</v>
      </c>
      <c r="G175" s="24">
        <f>SUM(G173:G174)</f>
        <v>1</v>
      </c>
      <c r="H175" s="24">
        <f>SUM(H173:H174)</f>
        <v>0</v>
      </c>
      <c r="I175" s="40">
        <f>SUM(F175:H175)</f>
        <v>1</v>
      </c>
      <c r="J175" s="24">
        <f aca="true" t="shared" si="48" ref="J175:O175">SUM(J173:J174)</f>
        <v>0</v>
      </c>
      <c r="K175" s="24">
        <f t="shared" si="48"/>
        <v>0</v>
      </c>
      <c r="L175" s="24">
        <f t="shared" si="48"/>
        <v>0</v>
      </c>
      <c r="M175" s="24">
        <f t="shared" si="48"/>
        <v>0</v>
      </c>
      <c r="N175" s="24">
        <f t="shared" si="48"/>
        <v>0</v>
      </c>
      <c r="O175" s="24">
        <f t="shared" si="48"/>
        <v>0</v>
      </c>
      <c r="P175" s="24">
        <f>SUM(J175:O175)</f>
        <v>0</v>
      </c>
      <c r="Q175" s="24">
        <f>SUM(Q173:Q174)</f>
        <v>1</v>
      </c>
      <c r="R175" s="24">
        <f>SUM(R173:R174)</f>
        <v>0</v>
      </c>
      <c r="S175" s="24">
        <f>SUM(S173:S174)</f>
        <v>0</v>
      </c>
      <c r="T175" s="24">
        <f>SUM(T173:T174)</f>
        <v>0</v>
      </c>
      <c r="U175" s="24">
        <f>SUM(U173:U174)</f>
        <v>0</v>
      </c>
      <c r="V175" s="26">
        <f>IF(I175-Q175=0,"",IF(D175="",(P175+S175)/(I175-Q175),IF(AND(D175&lt;&gt;"",(P175+S175)/(I175-Q175)&gt;=50%),(P175+S175)/(I175-Q175),"")))</f>
      </c>
      <c r="W175" s="26">
        <f>IF(I175=O175,"",IF(V175="",0,(P175+Q175+S175-O175)/(I175-O175)))</f>
        <v>0</v>
      </c>
      <c r="X175" s="49"/>
      <c r="Y175" s="49"/>
      <c r="Z175" s="49"/>
      <c r="AA175" s="49"/>
      <c r="AB175" s="50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39" customFormat="1" ht="19.5" customHeight="1">
      <c r="A176" s="32"/>
      <c r="B176" s="115" t="s">
        <v>68</v>
      </c>
      <c r="C176" s="14" t="s">
        <v>2</v>
      </c>
      <c r="D176" s="15" t="s">
        <v>165</v>
      </c>
      <c r="E176" s="16" t="s">
        <v>196</v>
      </c>
      <c r="F176" s="15"/>
      <c r="G176" s="15"/>
      <c r="H176" s="15"/>
      <c r="I176" s="17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17.25" customHeight="1">
      <c r="A177" s="32">
        <v>15</v>
      </c>
      <c r="B177" s="115"/>
      <c r="C177" s="20" t="str">
        <f>IF(A177="","VARA",VLOOKUP(A177,'[1]varas'!$A$4:$B$67,2))</f>
        <v>15ª VT Recife</v>
      </c>
      <c r="D177" s="15"/>
      <c r="E177" s="16"/>
      <c r="F177" s="15">
        <v>31</v>
      </c>
      <c r="G177" s="15">
        <v>0</v>
      </c>
      <c r="H177" s="15">
        <v>0</v>
      </c>
      <c r="I177" s="17">
        <f>SUM(F177:H177)</f>
        <v>31</v>
      </c>
      <c r="J177" s="15">
        <v>1</v>
      </c>
      <c r="K177" s="15">
        <v>5</v>
      </c>
      <c r="L177" s="15">
        <v>0</v>
      </c>
      <c r="M177" s="15">
        <v>0</v>
      </c>
      <c r="N177" s="15">
        <v>0</v>
      </c>
      <c r="O177" s="15">
        <v>20</v>
      </c>
      <c r="P177" s="15">
        <f>SUM(J177:O177)</f>
        <v>26</v>
      </c>
      <c r="Q177" s="15">
        <v>5</v>
      </c>
      <c r="R177" s="15">
        <v>0</v>
      </c>
      <c r="S177" s="15">
        <v>0</v>
      </c>
      <c r="T177" s="15">
        <v>0</v>
      </c>
      <c r="U177" s="15">
        <v>40</v>
      </c>
      <c r="V177" s="18"/>
      <c r="W177" s="18"/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53" customFormat="1" ht="21" customHeight="1">
      <c r="A178" s="47"/>
      <c r="B178" s="115"/>
      <c r="C178" s="21" t="s">
        <v>12</v>
      </c>
      <c r="D178" s="51"/>
      <c r="E178" s="52"/>
      <c r="F178" s="24">
        <f>SUM(F176:F177)</f>
        <v>31</v>
      </c>
      <c r="G178" s="24">
        <f>SUM(G176:G177)</f>
        <v>0</v>
      </c>
      <c r="H178" s="24">
        <f>SUM(H176:H177)</f>
        <v>0</v>
      </c>
      <c r="I178" s="25">
        <f>SUM(F178:H178)</f>
        <v>31</v>
      </c>
      <c r="J178" s="24">
        <f aca="true" t="shared" si="49" ref="J178:O178">SUM(J176:J177)</f>
        <v>1</v>
      </c>
      <c r="K178" s="24">
        <f t="shared" si="49"/>
        <v>5</v>
      </c>
      <c r="L178" s="24">
        <f t="shared" si="49"/>
        <v>0</v>
      </c>
      <c r="M178" s="24">
        <f t="shared" si="49"/>
        <v>0</v>
      </c>
      <c r="N178" s="24">
        <f t="shared" si="49"/>
        <v>0</v>
      </c>
      <c r="O178" s="24">
        <f t="shared" si="49"/>
        <v>20</v>
      </c>
      <c r="P178" s="24">
        <f>SUM(J178:O178)</f>
        <v>26</v>
      </c>
      <c r="Q178" s="24">
        <f>SUM(Q176:Q177)</f>
        <v>5</v>
      </c>
      <c r="R178" s="24">
        <f>SUM(R176:R177)</f>
        <v>0</v>
      </c>
      <c r="S178" s="24">
        <f>SUM(S176:S177)</f>
        <v>0</v>
      </c>
      <c r="T178" s="24">
        <f>SUM(T176:T177)</f>
        <v>0</v>
      </c>
      <c r="U178" s="24">
        <f>SUM(U176:U177)</f>
        <v>40</v>
      </c>
      <c r="V178" s="26">
        <f>IF(I178-Q178=0,"",IF(D178="",(P178+S178)/(I178-Q178),IF(AND(D178&lt;&gt;"",(P178+S178)/(I178-Q178)&gt;=50%),(P178+S178)/(I178-Q178),"")))</f>
        <v>1</v>
      </c>
      <c r="W178" s="26">
        <f>IF(I178=O178,"",IF(V178="",0,(P178+Q178+S178-O178)/(I178-O178)))</f>
        <v>1</v>
      </c>
      <c r="X178" s="49"/>
      <c r="Y178" s="49"/>
      <c r="Z178" s="49"/>
      <c r="AA178" s="49"/>
      <c r="AB178" s="50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39" customFormat="1" ht="23.25" customHeight="1">
      <c r="A179" s="32"/>
      <c r="B179" s="115" t="s">
        <v>69</v>
      </c>
      <c r="C179" s="14" t="s">
        <v>2</v>
      </c>
      <c r="D179" s="29"/>
      <c r="E179" s="16" t="s">
        <v>27</v>
      </c>
      <c r="F179" s="15"/>
      <c r="G179" s="15"/>
      <c r="H179" s="15"/>
      <c r="I179" s="17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39" customFormat="1" ht="23.25" customHeight="1">
      <c r="A180" s="32">
        <v>28</v>
      </c>
      <c r="B180" s="115"/>
      <c r="C180" s="20" t="str">
        <f>IF(A180="","VARA",VLOOKUP(A180,'[1]varas'!$A$4:$B$67,2))</f>
        <v>1ª VT Caruaru</v>
      </c>
      <c r="D180" s="15"/>
      <c r="E180" s="16"/>
      <c r="F180" s="15">
        <f>29+50+14</f>
        <v>93</v>
      </c>
      <c r="G180" s="15">
        <v>0</v>
      </c>
      <c r="H180" s="15">
        <v>0</v>
      </c>
      <c r="I180" s="17">
        <f>SUM(F180:H180)</f>
        <v>93</v>
      </c>
      <c r="J180" s="15">
        <v>29</v>
      </c>
      <c r="K180" s="15">
        <v>0</v>
      </c>
      <c r="L180" s="15">
        <v>14</v>
      </c>
      <c r="M180" s="15">
        <v>0</v>
      </c>
      <c r="N180" s="15">
        <v>0</v>
      </c>
      <c r="O180" s="15">
        <v>50</v>
      </c>
      <c r="P180" s="15">
        <f>SUM(J180:O180)</f>
        <v>93</v>
      </c>
      <c r="Q180" s="15">
        <v>0</v>
      </c>
      <c r="R180" s="15">
        <v>0</v>
      </c>
      <c r="S180" s="15">
        <v>0</v>
      </c>
      <c r="T180" s="15">
        <v>0</v>
      </c>
      <c r="U180" s="15">
        <v>177</v>
      </c>
      <c r="V180" s="18"/>
      <c r="W180" s="18"/>
      <c r="X180" s="30"/>
      <c r="Y180" s="30"/>
      <c r="Z180" s="30"/>
      <c r="AA180" s="30"/>
      <c r="AB180" s="34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s="39" customFormat="1" ht="18.75" customHeight="1">
      <c r="A181" s="32">
        <v>48</v>
      </c>
      <c r="B181" s="115"/>
      <c r="C181" s="20" t="str">
        <f>IF(A181="","VARA",VLOOKUP(A181,'[1]varas'!$A$4:$B$67,2))</f>
        <v>VT Catende</v>
      </c>
      <c r="D181" s="15"/>
      <c r="E181" s="16"/>
      <c r="F181" s="15">
        <v>0</v>
      </c>
      <c r="G181" s="15">
        <v>0</v>
      </c>
      <c r="H181" s="15">
        <v>29</v>
      </c>
      <c r="I181" s="17">
        <f>SUM(F181:H181)</f>
        <v>29</v>
      </c>
      <c r="J181" s="15">
        <v>29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f>SUM(J181:O181)</f>
        <v>29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8"/>
      <c r="W181" s="18"/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18" customHeight="1">
      <c r="A182" s="32"/>
      <c r="B182" s="115"/>
      <c r="C182" s="21" t="s">
        <v>12</v>
      </c>
      <c r="D182" s="33"/>
      <c r="E182" s="23"/>
      <c r="F182" s="24">
        <f>SUM(F179:F181)</f>
        <v>93</v>
      </c>
      <c r="G182" s="24">
        <f>SUM(G179:G181)</f>
        <v>0</v>
      </c>
      <c r="H182" s="24">
        <f>SUM(H179:H181)</f>
        <v>29</v>
      </c>
      <c r="I182" s="40">
        <f>SUM(F182:H182)</f>
        <v>122</v>
      </c>
      <c r="J182" s="24">
        <f aca="true" t="shared" si="50" ref="J182:O182">SUM(J179:J181)</f>
        <v>58</v>
      </c>
      <c r="K182" s="24">
        <f t="shared" si="50"/>
        <v>0</v>
      </c>
      <c r="L182" s="24">
        <f t="shared" si="50"/>
        <v>14</v>
      </c>
      <c r="M182" s="24">
        <f t="shared" si="50"/>
        <v>0</v>
      </c>
      <c r="N182" s="24">
        <f t="shared" si="50"/>
        <v>0</v>
      </c>
      <c r="O182" s="24">
        <f t="shared" si="50"/>
        <v>50</v>
      </c>
      <c r="P182" s="24">
        <f>SUM(J182:O182)</f>
        <v>122</v>
      </c>
      <c r="Q182" s="24">
        <f>SUM(Q179:Q181)</f>
        <v>0</v>
      </c>
      <c r="R182" s="24">
        <f>SUM(R179:R181)</f>
        <v>0</v>
      </c>
      <c r="S182" s="24">
        <f>SUM(S179:S181)</f>
        <v>0</v>
      </c>
      <c r="T182" s="24">
        <f>SUM(T179:T181)</f>
        <v>0</v>
      </c>
      <c r="U182" s="24">
        <f>SUM(U179:U181)</f>
        <v>177</v>
      </c>
      <c r="V182" s="26">
        <f>IF(I182-Q182=0,"",IF(D182="",(P182+S182)/(I182-Q182),IF(AND(D182&lt;&gt;"",(P182+S182)/(I182-Q182)&gt;=50%),(P182+S182)/(I182-Q182),"")))</f>
        <v>1</v>
      </c>
      <c r="W182" s="26">
        <f>IF(I182=O182,"",IF(V182="",0,(P182+Q182+S182-O182)/(I182-O182)))</f>
        <v>1</v>
      </c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25.5" customHeight="1">
      <c r="A183" s="32"/>
      <c r="B183" s="115" t="s">
        <v>70</v>
      </c>
      <c r="C183" s="14" t="s">
        <v>2</v>
      </c>
      <c r="D183" s="29"/>
      <c r="E183" s="16" t="s">
        <v>27</v>
      </c>
      <c r="F183" s="15"/>
      <c r="G183" s="15"/>
      <c r="H183" s="15"/>
      <c r="I183" s="17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8"/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39" customFormat="1" ht="22.5" customHeight="1">
      <c r="A184" s="32">
        <v>33</v>
      </c>
      <c r="B184" s="115"/>
      <c r="C184" s="20" t="str">
        <f>IF(A184="","VARA",VLOOKUP(A184,'[1]varas'!$A$4:$B$67,2))</f>
        <v>2ª VT Ipojuca</v>
      </c>
      <c r="D184" s="29"/>
      <c r="E184" s="16"/>
      <c r="F184" s="15">
        <f>54+16+6</f>
        <v>76</v>
      </c>
      <c r="G184" s="15">
        <v>15</v>
      </c>
      <c r="H184" s="15">
        <v>0</v>
      </c>
      <c r="I184" s="17">
        <f>SUM(F184:H184)</f>
        <v>91</v>
      </c>
      <c r="J184" s="15">
        <v>17</v>
      </c>
      <c r="K184" s="15">
        <v>23</v>
      </c>
      <c r="L184" s="15">
        <v>6</v>
      </c>
      <c r="M184" s="15">
        <v>0</v>
      </c>
      <c r="N184" s="15">
        <v>0</v>
      </c>
      <c r="O184" s="15">
        <v>16</v>
      </c>
      <c r="P184" s="15">
        <f>SUM(J184:O184)</f>
        <v>62</v>
      </c>
      <c r="Q184" s="15">
        <v>18</v>
      </c>
      <c r="R184" s="15">
        <v>10</v>
      </c>
      <c r="S184" s="15">
        <v>0</v>
      </c>
      <c r="T184" s="15">
        <v>1</v>
      </c>
      <c r="U184" s="15">
        <v>61</v>
      </c>
      <c r="V184" s="18"/>
      <c r="W184" s="18"/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18" customHeight="1">
      <c r="A185" s="32"/>
      <c r="B185" s="121"/>
      <c r="C185" s="21" t="s">
        <v>12</v>
      </c>
      <c r="D185" s="33"/>
      <c r="E185" s="23"/>
      <c r="F185" s="24">
        <f>SUM(F183:F184)</f>
        <v>76</v>
      </c>
      <c r="G185" s="24">
        <f>SUM(G183:G184)</f>
        <v>15</v>
      </c>
      <c r="H185" s="24">
        <f>SUM(H183:H184)</f>
        <v>0</v>
      </c>
      <c r="I185" s="40">
        <f>SUM(F185:H185)</f>
        <v>91</v>
      </c>
      <c r="J185" s="24">
        <f aca="true" t="shared" si="51" ref="J185:O185">SUM(J183:J184)</f>
        <v>17</v>
      </c>
      <c r="K185" s="24">
        <f t="shared" si="51"/>
        <v>23</v>
      </c>
      <c r="L185" s="24">
        <f t="shared" si="51"/>
        <v>6</v>
      </c>
      <c r="M185" s="24">
        <f t="shared" si="51"/>
        <v>0</v>
      </c>
      <c r="N185" s="24">
        <f t="shared" si="51"/>
        <v>0</v>
      </c>
      <c r="O185" s="24">
        <f t="shared" si="51"/>
        <v>16</v>
      </c>
      <c r="P185" s="24">
        <f>SUM(J185:O185)</f>
        <v>62</v>
      </c>
      <c r="Q185" s="24">
        <f>SUM(Q183:Q184)</f>
        <v>18</v>
      </c>
      <c r="R185" s="24">
        <f>SUM(R183:R184)</f>
        <v>10</v>
      </c>
      <c r="S185" s="24">
        <f>SUM(S183:S184)</f>
        <v>0</v>
      </c>
      <c r="T185" s="24">
        <f>SUM(T183:T184)</f>
        <v>1</v>
      </c>
      <c r="U185" s="24">
        <f>SUM(U183:U184)</f>
        <v>61</v>
      </c>
      <c r="V185" s="26">
        <f>IF(I185-Q185=0,"",IF(D185="",(P185+S185)/(I185-Q185),IF(AND(D185&lt;&gt;"",(P185+S185)/(I185-Q185)&gt;=50%),(P185+S185)/(I185-Q185),"")))</f>
        <v>0.8493150684931506</v>
      </c>
      <c r="W185" s="26">
        <f>IF(I185=O185,"",IF(V185="",0,(P185+Q185+S185-O185)/(I185-O185)))</f>
        <v>0.8533333333333334</v>
      </c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24" customHeight="1">
      <c r="A186" s="32"/>
      <c r="B186" s="122" t="s">
        <v>71</v>
      </c>
      <c r="C186" s="14" t="s">
        <v>2</v>
      </c>
      <c r="D186" s="29" t="s">
        <v>43</v>
      </c>
      <c r="E186" s="16" t="s">
        <v>218</v>
      </c>
      <c r="F186" s="15"/>
      <c r="G186" s="15"/>
      <c r="H186" s="15"/>
      <c r="I186" s="17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8"/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39" customFormat="1" ht="24" customHeight="1">
      <c r="A187" s="32">
        <v>20</v>
      </c>
      <c r="B187" s="122"/>
      <c r="C187" s="20" t="str">
        <f>IF(A187="","VARA",VLOOKUP(A187,'[1]varas'!$A$4:$B$67,2))</f>
        <v>20ª VT Recife</v>
      </c>
      <c r="D187" s="15"/>
      <c r="E187" s="16"/>
      <c r="F187" s="15">
        <v>1</v>
      </c>
      <c r="G187" s="15">
        <v>0</v>
      </c>
      <c r="H187" s="15">
        <v>0</v>
      </c>
      <c r="I187" s="17">
        <f>SUM(F187:H187)</f>
        <v>1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1</v>
      </c>
      <c r="P187" s="15">
        <f>SUM(J187:O187)</f>
        <v>1</v>
      </c>
      <c r="Q187" s="15">
        <v>0</v>
      </c>
      <c r="R187" s="15">
        <v>0</v>
      </c>
      <c r="S187" s="15">
        <v>0</v>
      </c>
      <c r="T187" s="15">
        <v>0</v>
      </c>
      <c r="U187" s="15">
        <v>1</v>
      </c>
      <c r="V187" s="18"/>
      <c r="W187" s="18"/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24" customHeight="1">
      <c r="A188" s="32">
        <v>21</v>
      </c>
      <c r="B188" s="122"/>
      <c r="C188" s="20" t="str">
        <f>IF(A188="","VARA",VLOOKUP(A188,'[1]varas'!$A$4:$B$67,2))</f>
        <v>21ª VT Recife</v>
      </c>
      <c r="D188" s="15"/>
      <c r="E188" s="16"/>
      <c r="F188" s="15">
        <v>4</v>
      </c>
      <c r="G188" s="15">
        <v>0</v>
      </c>
      <c r="H188" s="15">
        <v>0</v>
      </c>
      <c r="I188" s="17">
        <f>SUM(F188:H188)</f>
        <v>4</v>
      </c>
      <c r="J188" s="15">
        <v>1</v>
      </c>
      <c r="K188" s="15">
        <v>0</v>
      </c>
      <c r="L188" s="15">
        <v>0</v>
      </c>
      <c r="M188" s="15">
        <v>0</v>
      </c>
      <c r="N188" s="15">
        <v>0</v>
      </c>
      <c r="O188" s="15">
        <v>3</v>
      </c>
      <c r="P188" s="15">
        <f>SUM(J188:O188)</f>
        <v>4</v>
      </c>
      <c r="Q188" s="15">
        <v>0</v>
      </c>
      <c r="R188" s="15">
        <v>0</v>
      </c>
      <c r="S188" s="15">
        <v>0</v>
      </c>
      <c r="T188" s="15">
        <v>0</v>
      </c>
      <c r="U188" s="15">
        <v>4</v>
      </c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2.5" customHeight="1">
      <c r="A189" s="32">
        <v>47</v>
      </c>
      <c r="B189" s="115"/>
      <c r="C189" s="20" t="str">
        <f>IF(A189="","VARA",VLOOKUP(A189,'[1]varas'!$A$4:$B$67,2))</f>
        <v>VT Carpina</v>
      </c>
      <c r="D189" s="15"/>
      <c r="E189" s="16"/>
      <c r="F189" s="15">
        <f>49+458+14</f>
        <v>521</v>
      </c>
      <c r="G189" s="15">
        <v>2</v>
      </c>
      <c r="H189" s="15">
        <v>0</v>
      </c>
      <c r="I189" s="17">
        <f>SUM(F189:H189)</f>
        <v>523</v>
      </c>
      <c r="J189" s="15">
        <v>19</v>
      </c>
      <c r="K189" s="15">
        <v>29</v>
      </c>
      <c r="L189" s="15">
        <v>10</v>
      </c>
      <c r="M189" s="15">
        <v>4</v>
      </c>
      <c r="N189" s="15">
        <v>0</v>
      </c>
      <c r="O189" s="15">
        <v>458</v>
      </c>
      <c r="P189" s="15">
        <f>SUM(J189:O189)</f>
        <v>520</v>
      </c>
      <c r="Q189" s="15">
        <v>3</v>
      </c>
      <c r="R189" s="15">
        <v>0</v>
      </c>
      <c r="S189" s="15">
        <v>0</v>
      </c>
      <c r="T189" s="15">
        <v>0</v>
      </c>
      <c r="U189" s="15">
        <v>726</v>
      </c>
      <c r="V189" s="18"/>
      <c r="W189" s="18"/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53" customFormat="1" ht="20.25" customHeight="1">
      <c r="A190" s="47"/>
      <c r="B190" s="115"/>
      <c r="C190" s="20" t="s">
        <v>12</v>
      </c>
      <c r="D190" s="24"/>
      <c r="E190" s="48"/>
      <c r="F190" s="24">
        <f>SUM(F186:F189)</f>
        <v>526</v>
      </c>
      <c r="G190" s="24">
        <f>SUM(G186:G189)</f>
        <v>2</v>
      </c>
      <c r="H190" s="24">
        <f>SUM(H186:H189)</f>
        <v>0</v>
      </c>
      <c r="I190" s="40">
        <f>SUM(F190:H190)</f>
        <v>528</v>
      </c>
      <c r="J190" s="24">
        <f aca="true" t="shared" si="52" ref="J190:O190">SUM(J186:J189)</f>
        <v>20</v>
      </c>
      <c r="K190" s="24">
        <f t="shared" si="52"/>
        <v>29</v>
      </c>
      <c r="L190" s="24">
        <f t="shared" si="52"/>
        <v>10</v>
      </c>
      <c r="M190" s="24">
        <f t="shared" si="52"/>
        <v>4</v>
      </c>
      <c r="N190" s="24">
        <f t="shared" si="52"/>
        <v>0</v>
      </c>
      <c r="O190" s="24">
        <f t="shared" si="52"/>
        <v>462</v>
      </c>
      <c r="P190" s="24">
        <f>SUM(J190:O190)</f>
        <v>525</v>
      </c>
      <c r="Q190" s="24">
        <f>SUM(Q186:Q189)</f>
        <v>3</v>
      </c>
      <c r="R190" s="24">
        <f>SUM(R186:R189)</f>
        <v>0</v>
      </c>
      <c r="S190" s="24">
        <f>SUM(S186:S189)</f>
        <v>0</v>
      </c>
      <c r="T190" s="24">
        <f>SUM(T186:T189)</f>
        <v>0</v>
      </c>
      <c r="U190" s="24">
        <f>SUM(U186:U189)</f>
        <v>731</v>
      </c>
      <c r="V190" s="26">
        <f>IF(I190-Q190=0,"",IF(D190="",(P190+S190)/(I190-Q190),IF(AND(D190&lt;&gt;"",(P190+S190)/(I190-Q190)&gt;=50%),(P190+S190)/(I190-Q190),"")))</f>
        <v>1</v>
      </c>
      <c r="W190" s="26">
        <f>IF(I190=O190,"",IF(V190="",0,(P190+Q190+S190-O190)/(I190-O190)))</f>
        <v>1</v>
      </c>
      <c r="X190" s="49"/>
      <c r="Y190" s="49"/>
      <c r="Z190" s="49"/>
      <c r="AA190" s="49"/>
      <c r="AB190" s="50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39" customFormat="1" ht="26.25" customHeight="1">
      <c r="A191" s="32"/>
      <c r="B191" s="115" t="s">
        <v>72</v>
      </c>
      <c r="C191" s="14" t="s">
        <v>183</v>
      </c>
      <c r="D191" s="15" t="s">
        <v>30</v>
      </c>
      <c r="E191" s="16" t="s">
        <v>204</v>
      </c>
      <c r="F191" s="15"/>
      <c r="G191" s="15"/>
      <c r="H191" s="15"/>
      <c r="I191" s="17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18.75" customHeight="1">
      <c r="A192" s="32">
        <v>5</v>
      </c>
      <c r="B192" s="115"/>
      <c r="C192" s="20" t="str">
        <f>IF(A192="","VARA",VLOOKUP(A192,'[1]varas'!$A$4:$B$67,2))</f>
        <v>5ª VT Recife</v>
      </c>
      <c r="D192" s="15"/>
      <c r="E192" s="16"/>
      <c r="F192" s="15">
        <v>8</v>
      </c>
      <c r="G192" s="15">
        <v>7</v>
      </c>
      <c r="H192" s="15">
        <v>2</v>
      </c>
      <c r="I192" s="17">
        <f>SUM(F192:H192)</f>
        <v>17</v>
      </c>
      <c r="J192" s="15">
        <v>7</v>
      </c>
      <c r="K192" s="15">
        <v>1</v>
      </c>
      <c r="L192" s="15">
        <v>8</v>
      </c>
      <c r="M192" s="15">
        <v>0</v>
      </c>
      <c r="N192" s="15">
        <v>0</v>
      </c>
      <c r="O192" s="15">
        <v>0</v>
      </c>
      <c r="P192" s="15">
        <f>SUM(J192:O192)</f>
        <v>16</v>
      </c>
      <c r="Q192" s="15">
        <v>0</v>
      </c>
      <c r="R192" s="15">
        <v>0</v>
      </c>
      <c r="S192" s="15">
        <v>0</v>
      </c>
      <c r="T192" s="15">
        <v>1</v>
      </c>
      <c r="U192" s="15">
        <v>0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39" customFormat="1" ht="21" customHeight="1">
      <c r="A193" s="32"/>
      <c r="B193" s="115"/>
      <c r="C193" s="21" t="s">
        <v>12</v>
      </c>
      <c r="D193" s="33"/>
      <c r="E193" s="23"/>
      <c r="F193" s="24">
        <f>SUM(F191:F192)</f>
        <v>8</v>
      </c>
      <c r="G193" s="24">
        <f>SUM(G191:G192)</f>
        <v>7</v>
      </c>
      <c r="H193" s="24">
        <f>SUM(H191:H192)</f>
        <v>2</v>
      </c>
      <c r="I193" s="25">
        <f>SUM(F193:H193)</f>
        <v>17</v>
      </c>
      <c r="J193" s="24">
        <f aca="true" t="shared" si="53" ref="J193:O193">SUM(J191:J192)</f>
        <v>7</v>
      </c>
      <c r="K193" s="24">
        <f t="shared" si="53"/>
        <v>1</v>
      </c>
      <c r="L193" s="24">
        <f t="shared" si="53"/>
        <v>8</v>
      </c>
      <c r="M193" s="24">
        <f t="shared" si="53"/>
        <v>0</v>
      </c>
      <c r="N193" s="24">
        <f t="shared" si="53"/>
        <v>0</v>
      </c>
      <c r="O193" s="24">
        <f t="shared" si="53"/>
        <v>0</v>
      </c>
      <c r="P193" s="24">
        <f>SUM(J193:O193)</f>
        <v>16</v>
      </c>
      <c r="Q193" s="24">
        <f>SUM(Q191:Q192)</f>
        <v>0</v>
      </c>
      <c r="R193" s="24">
        <f>SUM(R191:R192)</f>
        <v>0</v>
      </c>
      <c r="S193" s="24">
        <f>SUM(S191:S192)</f>
        <v>0</v>
      </c>
      <c r="T193" s="24">
        <f>SUM(T191:T192)</f>
        <v>1</v>
      </c>
      <c r="U193" s="24">
        <f>SUM(U191:U192)</f>
        <v>0</v>
      </c>
      <c r="V193" s="26">
        <f>IF(I193-Q193=0,"",IF(D193="",(P193+S193)/(I193-Q193),IF(AND(D193&lt;&gt;"",(P193+S193)/(I193-Q193)&gt;=50%),(P193+S193)/(I193-Q193),"")))</f>
        <v>0.9411764705882353</v>
      </c>
      <c r="W193" s="26">
        <f>IF(I193=O193,"",IF(V193="",0,(P193+Q193+S193-O193)/(I193-O193)))</f>
        <v>0.9411764705882353</v>
      </c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21.75" customHeight="1">
      <c r="A194" s="32"/>
      <c r="B194" s="115" t="s">
        <v>73</v>
      </c>
      <c r="C194" s="14" t="s">
        <v>2</v>
      </c>
      <c r="D194" s="29"/>
      <c r="E194" s="16" t="s">
        <v>27</v>
      </c>
      <c r="F194" s="15"/>
      <c r="G194" s="15"/>
      <c r="H194" s="15"/>
      <c r="I194" s="17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1" customHeight="1">
      <c r="A195" s="32">
        <v>12</v>
      </c>
      <c r="B195" s="115"/>
      <c r="C195" s="20" t="str">
        <f>IF(A195="","VARA",VLOOKUP(A195,'[1]varas'!$A$4:$B$67,2))</f>
        <v>12ª VT Recife</v>
      </c>
      <c r="D195" s="29"/>
      <c r="E195" s="16"/>
      <c r="F195" s="15">
        <f>38+23+72+16</f>
        <v>149</v>
      </c>
      <c r="G195" s="15">
        <v>0</v>
      </c>
      <c r="H195" s="15">
        <v>71</v>
      </c>
      <c r="I195" s="17">
        <f>SUM(F195:H195)</f>
        <v>220</v>
      </c>
      <c r="J195" s="15">
        <v>35</v>
      </c>
      <c r="K195" s="15">
        <v>9</v>
      </c>
      <c r="L195" s="15">
        <v>72</v>
      </c>
      <c r="M195" s="15">
        <v>15</v>
      </c>
      <c r="N195" s="15">
        <v>1</v>
      </c>
      <c r="O195" s="15">
        <v>23</v>
      </c>
      <c r="P195" s="15">
        <f>SUM(J195:O195)</f>
        <v>155</v>
      </c>
      <c r="Q195" s="15">
        <v>13</v>
      </c>
      <c r="R195" s="15">
        <v>47</v>
      </c>
      <c r="S195" s="15">
        <v>2</v>
      </c>
      <c r="T195" s="15">
        <v>3</v>
      </c>
      <c r="U195" s="15">
        <v>113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53" customFormat="1" ht="20.25" customHeight="1">
      <c r="A196" s="47"/>
      <c r="B196" s="115"/>
      <c r="C196" s="21" t="s">
        <v>12</v>
      </c>
      <c r="D196" s="51"/>
      <c r="E196" s="52"/>
      <c r="F196" s="24">
        <f>SUM(F194:F195)</f>
        <v>149</v>
      </c>
      <c r="G196" s="24">
        <f>SUM(G194:G195)</f>
        <v>0</v>
      </c>
      <c r="H196" s="24">
        <f>SUM(H194:H195)</f>
        <v>71</v>
      </c>
      <c r="I196" s="25">
        <f>SUM(F196:H196)</f>
        <v>220</v>
      </c>
      <c r="J196" s="24">
        <f aca="true" t="shared" si="54" ref="J196:O196">SUM(J194:J195)</f>
        <v>35</v>
      </c>
      <c r="K196" s="24">
        <f t="shared" si="54"/>
        <v>9</v>
      </c>
      <c r="L196" s="24">
        <f t="shared" si="54"/>
        <v>72</v>
      </c>
      <c r="M196" s="24">
        <f t="shared" si="54"/>
        <v>15</v>
      </c>
      <c r="N196" s="24">
        <f t="shared" si="54"/>
        <v>1</v>
      </c>
      <c r="O196" s="24">
        <f t="shared" si="54"/>
        <v>23</v>
      </c>
      <c r="P196" s="24">
        <f>SUM(J196:O196)</f>
        <v>155</v>
      </c>
      <c r="Q196" s="24">
        <f>SUM(Q194:Q195)</f>
        <v>13</v>
      </c>
      <c r="R196" s="24">
        <f>SUM(R194:R195)</f>
        <v>47</v>
      </c>
      <c r="S196" s="24">
        <f>SUM(S194:S195)</f>
        <v>2</v>
      </c>
      <c r="T196" s="24">
        <f>SUM(T194:T195)</f>
        <v>3</v>
      </c>
      <c r="U196" s="24">
        <f>SUM(U194:U195)</f>
        <v>113</v>
      </c>
      <c r="V196" s="26">
        <f>IF(I196-Q196=0,"",IF(D196="",(P196+S196)/(I196-Q196),IF(AND(D196&lt;&gt;"",(P196+S196)/(I196-Q196)&gt;=50%),(P196+S196)/(I196-Q196),"")))</f>
        <v>0.7584541062801933</v>
      </c>
      <c r="W196" s="26">
        <f>IF(I196=O196,"",IF(V196="",0,(P196+Q196+S196-O196)/(I196-O196)))</f>
        <v>0.7461928934010152</v>
      </c>
      <c r="X196" s="49"/>
      <c r="Y196" s="49"/>
      <c r="Z196" s="49"/>
      <c r="AA196" s="49"/>
      <c r="AB196" s="50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39" customFormat="1" ht="21.75" customHeight="1">
      <c r="A197" s="32"/>
      <c r="B197" s="115" t="s">
        <v>74</v>
      </c>
      <c r="C197" s="14" t="s">
        <v>161</v>
      </c>
      <c r="D197" s="29"/>
      <c r="E197" s="16" t="s">
        <v>27</v>
      </c>
      <c r="F197" s="15"/>
      <c r="G197" s="15"/>
      <c r="H197" s="15"/>
      <c r="I197" s="17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39" customFormat="1" ht="18" customHeight="1">
      <c r="A198" s="32">
        <v>31</v>
      </c>
      <c r="B198" s="115"/>
      <c r="C198" s="20" t="str">
        <f>IF(A198="","VARA",VLOOKUP(A198,'[1]varas'!$A$4:$B$67,2))</f>
        <v>1ª VT Igarassu</v>
      </c>
      <c r="D198" s="15"/>
      <c r="E198" s="16"/>
      <c r="F198" s="15">
        <f>26+41+1</f>
        <v>68</v>
      </c>
      <c r="G198" s="15">
        <v>4</v>
      </c>
      <c r="H198" s="15">
        <v>0</v>
      </c>
      <c r="I198" s="17">
        <f>SUM(F198:H198)</f>
        <v>72</v>
      </c>
      <c r="J198" s="15">
        <v>16</v>
      </c>
      <c r="K198" s="15">
        <v>7</v>
      </c>
      <c r="L198" s="15">
        <v>1</v>
      </c>
      <c r="M198" s="15">
        <v>0</v>
      </c>
      <c r="N198" s="15">
        <v>0</v>
      </c>
      <c r="O198" s="15">
        <v>41</v>
      </c>
      <c r="P198" s="15">
        <f>SUM(J198:O198)</f>
        <v>65</v>
      </c>
      <c r="Q198" s="15">
        <v>6</v>
      </c>
      <c r="R198" s="15">
        <v>1</v>
      </c>
      <c r="S198" s="15">
        <v>0</v>
      </c>
      <c r="T198" s="15">
        <v>0</v>
      </c>
      <c r="U198" s="15">
        <v>60</v>
      </c>
      <c r="V198" s="18"/>
      <c r="W198" s="18"/>
      <c r="X198" s="30"/>
      <c r="Y198" s="30"/>
      <c r="Z198" s="30"/>
      <c r="AA198" s="30"/>
      <c r="AB198" s="3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s="53" customFormat="1" ht="20.25" customHeight="1">
      <c r="A199" s="47"/>
      <c r="B199" s="115"/>
      <c r="C199" s="21" t="s">
        <v>12</v>
      </c>
      <c r="D199" s="51"/>
      <c r="E199" s="52"/>
      <c r="F199" s="24">
        <f>SUM(F197:F198)</f>
        <v>68</v>
      </c>
      <c r="G199" s="24">
        <f>SUM(G197:G198)</f>
        <v>4</v>
      </c>
      <c r="H199" s="24">
        <f>SUM(H197:H198)</f>
        <v>0</v>
      </c>
      <c r="I199" s="25">
        <f>SUM(F199:H199)</f>
        <v>72</v>
      </c>
      <c r="J199" s="24">
        <f aca="true" t="shared" si="55" ref="J199:O199">SUM(J197:J198)</f>
        <v>16</v>
      </c>
      <c r="K199" s="24">
        <f t="shared" si="55"/>
        <v>7</v>
      </c>
      <c r="L199" s="24">
        <f t="shared" si="55"/>
        <v>1</v>
      </c>
      <c r="M199" s="24">
        <f t="shared" si="55"/>
        <v>0</v>
      </c>
      <c r="N199" s="24">
        <f t="shared" si="55"/>
        <v>0</v>
      </c>
      <c r="O199" s="24">
        <f t="shared" si="55"/>
        <v>41</v>
      </c>
      <c r="P199" s="24">
        <f>SUM(J199:O199)</f>
        <v>65</v>
      </c>
      <c r="Q199" s="24">
        <f>SUM(Q197:Q198)</f>
        <v>6</v>
      </c>
      <c r="R199" s="24">
        <f>SUM(R197:R198)</f>
        <v>1</v>
      </c>
      <c r="S199" s="24">
        <f>SUM(S197:S198)</f>
        <v>0</v>
      </c>
      <c r="T199" s="24">
        <f>SUM(T197:T198)</f>
        <v>0</v>
      </c>
      <c r="U199" s="24">
        <f>SUM(U197:U198)</f>
        <v>60</v>
      </c>
      <c r="V199" s="26">
        <f>IF(I199-Q199=0,"",IF(D199="",(P199+S199)/(I199-Q199),IF(AND(D199&lt;&gt;"",(P199+S199)/(I199-Q199)&gt;=50%),(P199+S199)/(I199-Q199),"")))</f>
        <v>0.9848484848484849</v>
      </c>
      <c r="W199" s="26">
        <f>IF(I199=O199,"",IF(V199="",0,(P199+Q199+S199-O199)/(I199-O199)))</f>
        <v>0.967741935483871</v>
      </c>
      <c r="X199" s="49"/>
      <c r="Y199" s="49"/>
      <c r="Z199" s="49"/>
      <c r="AA199" s="49"/>
      <c r="AB199" s="50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39" customFormat="1" ht="22.5" customHeight="1">
      <c r="A200" s="32"/>
      <c r="B200" s="115" t="s">
        <v>75</v>
      </c>
      <c r="C200" s="14" t="s">
        <v>158</v>
      </c>
      <c r="D200" s="29" t="s">
        <v>30</v>
      </c>
      <c r="E200" s="16" t="s">
        <v>204</v>
      </c>
      <c r="F200" s="15"/>
      <c r="G200" s="15"/>
      <c r="H200" s="15"/>
      <c r="I200" s="17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39" customFormat="1" ht="22.5" customHeight="1">
      <c r="A201" s="32">
        <v>2</v>
      </c>
      <c r="B201" s="115"/>
      <c r="C201" s="20" t="str">
        <f>IF(A201="","VARA",VLOOKUP(A201,'[1]varas'!$A$4:$B$67,2))</f>
        <v>2ª VT Recife</v>
      </c>
      <c r="D201" s="29"/>
      <c r="E201" s="16"/>
      <c r="F201" s="15">
        <v>0</v>
      </c>
      <c r="G201" s="15">
        <v>0</v>
      </c>
      <c r="H201" s="15">
        <v>4</v>
      </c>
      <c r="I201" s="17">
        <f>SUM(F201:H201)</f>
        <v>4</v>
      </c>
      <c r="J201" s="15">
        <v>4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f>SUM(J201:O201)</f>
        <v>4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8"/>
      <c r="W201" s="18"/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39" customFormat="1" ht="21" customHeight="1">
      <c r="A202" s="32">
        <v>4</v>
      </c>
      <c r="B202" s="115"/>
      <c r="C202" s="20" t="str">
        <f>IF(A202="","VARA",VLOOKUP(A202,'[1]varas'!$A$4:$B$67,2))</f>
        <v>4ª VT Recife</v>
      </c>
      <c r="D202" s="29"/>
      <c r="E202" s="16"/>
      <c r="F202" s="15">
        <v>0</v>
      </c>
      <c r="G202" s="15">
        <v>0</v>
      </c>
      <c r="H202" s="15">
        <v>2</v>
      </c>
      <c r="I202" s="17">
        <f aca="true" t="shared" si="56" ref="I202:I209">SUM(F202:H202)</f>
        <v>2</v>
      </c>
      <c r="J202" s="15">
        <v>2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f aca="true" t="shared" si="57" ref="P202:P209">SUM(J202:O202)</f>
        <v>2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21" customHeight="1">
      <c r="A203" s="32">
        <v>21</v>
      </c>
      <c r="B203" s="115"/>
      <c r="C203" s="20" t="str">
        <f>IF(A203="","VARA",VLOOKUP(A203,'[1]varas'!$A$4:$B$67,2))</f>
        <v>21ª VT Recife</v>
      </c>
      <c r="D203" s="29"/>
      <c r="E203" s="16"/>
      <c r="F203" s="15">
        <v>0</v>
      </c>
      <c r="G203" s="15">
        <v>14</v>
      </c>
      <c r="H203" s="15">
        <v>0</v>
      </c>
      <c r="I203" s="17">
        <f>SUM(F203:H203)</f>
        <v>14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f>SUM(J203:O203)</f>
        <v>0</v>
      </c>
      <c r="Q203" s="15">
        <v>14</v>
      </c>
      <c r="R203" s="15">
        <v>0</v>
      </c>
      <c r="S203" s="15">
        <v>0</v>
      </c>
      <c r="T203" s="15">
        <v>0</v>
      </c>
      <c r="U203" s="15">
        <v>0</v>
      </c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1" customHeight="1">
      <c r="A204" s="32">
        <v>49</v>
      </c>
      <c r="B204" s="115"/>
      <c r="C204" s="20" t="str">
        <f>IF(A204="","VARA",VLOOKUP(A204,'[1]varas'!$A$4:$B$67,2))</f>
        <v>VT Escada</v>
      </c>
      <c r="D204" s="29"/>
      <c r="E204" s="16"/>
      <c r="F204" s="15">
        <v>0</v>
      </c>
      <c r="G204" s="15">
        <v>0</v>
      </c>
      <c r="H204" s="15">
        <v>14</v>
      </c>
      <c r="I204" s="17">
        <f t="shared" si="56"/>
        <v>14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f t="shared" si="57"/>
        <v>0</v>
      </c>
      <c r="Q204" s="15">
        <v>0</v>
      </c>
      <c r="R204" s="15">
        <v>13</v>
      </c>
      <c r="S204" s="15">
        <v>0</v>
      </c>
      <c r="T204" s="15">
        <v>1</v>
      </c>
      <c r="U204" s="15">
        <v>0</v>
      </c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39" customFormat="1" ht="21" customHeight="1">
      <c r="A205" s="32">
        <v>46</v>
      </c>
      <c r="B205" s="115"/>
      <c r="C205" s="20" t="str">
        <f>IF(A205="","VARA",VLOOKUP(A205,'[1]varas'!$A$4:$B$67,2))</f>
        <v>VT Belo Jardim</v>
      </c>
      <c r="D205" s="29"/>
      <c r="E205" s="16"/>
      <c r="F205" s="15">
        <v>0</v>
      </c>
      <c r="G205" s="15">
        <v>2</v>
      </c>
      <c r="H205" s="15">
        <v>13</v>
      </c>
      <c r="I205" s="17">
        <f t="shared" si="56"/>
        <v>15</v>
      </c>
      <c r="J205" s="15">
        <v>2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f t="shared" si="57"/>
        <v>2</v>
      </c>
      <c r="Q205" s="15">
        <v>0</v>
      </c>
      <c r="R205" s="15">
        <v>13</v>
      </c>
      <c r="S205" s="15">
        <v>0</v>
      </c>
      <c r="T205" s="15">
        <v>0</v>
      </c>
      <c r="U205" s="15">
        <v>0</v>
      </c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39" customFormat="1" ht="21" customHeight="1">
      <c r="A206" s="32">
        <v>50</v>
      </c>
      <c r="B206" s="115"/>
      <c r="C206" s="20" t="str">
        <f>IF(A206="","VARA",VLOOKUP(A206,'[1]varas'!$A$4:$B$67,2))</f>
        <v>VT Garanhuns</v>
      </c>
      <c r="D206" s="29"/>
      <c r="E206" s="16"/>
      <c r="F206" s="15">
        <v>0</v>
      </c>
      <c r="G206" s="15">
        <v>0</v>
      </c>
      <c r="H206" s="15">
        <v>28</v>
      </c>
      <c r="I206" s="17">
        <f t="shared" si="56"/>
        <v>28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f t="shared" si="57"/>
        <v>0</v>
      </c>
      <c r="Q206" s="15">
        <v>0</v>
      </c>
      <c r="R206" s="15">
        <v>28</v>
      </c>
      <c r="S206" s="15">
        <v>0</v>
      </c>
      <c r="T206" s="15">
        <v>0</v>
      </c>
      <c r="U206" s="15">
        <v>0</v>
      </c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19.5" customHeight="1">
      <c r="A207" s="32">
        <v>64</v>
      </c>
      <c r="B207" s="115"/>
      <c r="C207" s="20" t="str">
        <f>IF(A207="","VARA",VLOOKUP(A207,'[1]varas'!$A$4:$B$67,2))</f>
        <v>PAJT Surubim</v>
      </c>
      <c r="D207" s="15"/>
      <c r="E207" s="16"/>
      <c r="F207" s="15">
        <v>0</v>
      </c>
      <c r="G207" s="15">
        <v>4</v>
      </c>
      <c r="H207" s="15">
        <v>3</v>
      </c>
      <c r="I207" s="17">
        <f t="shared" si="56"/>
        <v>7</v>
      </c>
      <c r="J207" s="15">
        <v>1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f t="shared" si="57"/>
        <v>1</v>
      </c>
      <c r="Q207" s="15">
        <v>0</v>
      </c>
      <c r="R207" s="15">
        <v>6</v>
      </c>
      <c r="S207" s="15">
        <v>0</v>
      </c>
      <c r="T207" s="15">
        <v>0</v>
      </c>
      <c r="U207" s="15">
        <v>0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18.75" customHeight="1">
      <c r="A208" s="32">
        <v>52</v>
      </c>
      <c r="B208" s="115"/>
      <c r="C208" s="20" t="str">
        <f>IF(A208="","VARA",VLOOKUP(A208,'[1]varas'!$A$4:$B$67,2))</f>
        <v>VT Limoeiro</v>
      </c>
      <c r="D208" s="15"/>
      <c r="E208" s="16"/>
      <c r="F208" s="15">
        <v>0</v>
      </c>
      <c r="G208" s="15">
        <v>0</v>
      </c>
      <c r="H208" s="15">
        <v>12</v>
      </c>
      <c r="I208" s="17">
        <f t="shared" si="56"/>
        <v>12</v>
      </c>
      <c r="J208" s="15">
        <v>2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f t="shared" si="57"/>
        <v>2</v>
      </c>
      <c r="Q208" s="15">
        <v>0</v>
      </c>
      <c r="R208" s="15">
        <v>10</v>
      </c>
      <c r="S208" s="15">
        <v>0</v>
      </c>
      <c r="T208" s="15">
        <v>0</v>
      </c>
      <c r="U208" s="15">
        <v>0</v>
      </c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53" customFormat="1" ht="15" customHeight="1">
      <c r="A209" s="47"/>
      <c r="B209" s="115"/>
      <c r="C209" s="20" t="s">
        <v>12</v>
      </c>
      <c r="D209" s="24"/>
      <c r="E209" s="48"/>
      <c r="F209" s="24">
        <f>SUM(F200:F208)</f>
        <v>0</v>
      </c>
      <c r="G209" s="24">
        <f>SUM(G200:G208)</f>
        <v>20</v>
      </c>
      <c r="H209" s="24">
        <f>SUM(H200:H208)</f>
        <v>76</v>
      </c>
      <c r="I209" s="40">
        <f t="shared" si="56"/>
        <v>96</v>
      </c>
      <c r="J209" s="24">
        <f aca="true" t="shared" si="58" ref="J209:O209">SUM(J200:J208)</f>
        <v>11</v>
      </c>
      <c r="K209" s="24">
        <f t="shared" si="58"/>
        <v>0</v>
      </c>
      <c r="L209" s="24">
        <f t="shared" si="58"/>
        <v>0</v>
      </c>
      <c r="M209" s="24">
        <f t="shared" si="58"/>
        <v>0</v>
      </c>
      <c r="N209" s="24">
        <f t="shared" si="58"/>
        <v>0</v>
      </c>
      <c r="O209" s="24">
        <f t="shared" si="58"/>
        <v>0</v>
      </c>
      <c r="P209" s="24">
        <f t="shared" si="57"/>
        <v>11</v>
      </c>
      <c r="Q209" s="24">
        <f>SUM(Q200:Q208)</f>
        <v>14</v>
      </c>
      <c r="R209" s="24">
        <f>SUM(R200:R208)</f>
        <v>70</v>
      </c>
      <c r="S209" s="24">
        <f>SUM(S200:S208)</f>
        <v>0</v>
      </c>
      <c r="T209" s="24">
        <f>SUM(T200:T208)</f>
        <v>1</v>
      </c>
      <c r="U209" s="24">
        <f>SUM(U200:U208)</f>
        <v>0</v>
      </c>
      <c r="V209" s="26">
        <f>IF(I209-Q209=0,"",IF(D209="",(P209+S209)/(I209-Q209),IF(AND(D209&lt;&gt;"",(P209+S209)/(I209-Q209)&gt;=50%),(P209+S209)/(I209-Q209),"")))</f>
        <v>0.13414634146341464</v>
      </c>
      <c r="W209" s="26">
        <f>IF(I209=O209,"",IF(V209="",0,(P209+Q209+S209-O209)/(I209-O209)))</f>
        <v>0.2604166666666667</v>
      </c>
      <c r="X209" s="49"/>
      <c r="Y209" s="49"/>
      <c r="Z209" s="49"/>
      <c r="AA209" s="49"/>
      <c r="AB209" s="50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39" customFormat="1" ht="20.25" customHeight="1">
      <c r="A210" s="32"/>
      <c r="B210" s="115" t="s">
        <v>76</v>
      </c>
      <c r="C210" s="14" t="s">
        <v>2</v>
      </c>
      <c r="D210" s="29" t="s">
        <v>30</v>
      </c>
      <c r="E210" s="16" t="s">
        <v>222</v>
      </c>
      <c r="F210" s="15"/>
      <c r="G210" s="15"/>
      <c r="H210" s="15"/>
      <c r="I210" s="17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39" customFormat="1" ht="17.25" customHeight="1">
      <c r="A211" s="32">
        <v>38</v>
      </c>
      <c r="B211" s="115"/>
      <c r="C211" s="20" t="str">
        <f>IF(A211="","VARA",VLOOKUP(A211,'[1]varas'!$A$4:$B$67,2))</f>
        <v>1ª VT Olinda</v>
      </c>
      <c r="D211" s="15"/>
      <c r="E211" s="16"/>
      <c r="F211" s="15">
        <f>41+95+2</f>
        <v>138</v>
      </c>
      <c r="G211" s="15">
        <v>0</v>
      </c>
      <c r="H211" s="15">
        <v>0</v>
      </c>
      <c r="I211" s="17">
        <f>SUM(F211:H211)</f>
        <v>138</v>
      </c>
      <c r="J211" s="15">
        <v>41</v>
      </c>
      <c r="K211" s="15">
        <v>2</v>
      </c>
      <c r="L211" s="15">
        <v>0</v>
      </c>
      <c r="M211" s="15">
        <v>0</v>
      </c>
      <c r="N211" s="15">
        <v>0</v>
      </c>
      <c r="O211" s="15">
        <v>95</v>
      </c>
      <c r="P211" s="15">
        <f>SUM(J211:O211)</f>
        <v>138</v>
      </c>
      <c r="Q211" s="15">
        <v>0</v>
      </c>
      <c r="R211" s="15">
        <v>0</v>
      </c>
      <c r="S211" s="15">
        <v>0</v>
      </c>
      <c r="T211" s="15">
        <v>0</v>
      </c>
      <c r="U211" s="15">
        <v>226</v>
      </c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20.25" customHeight="1">
      <c r="A212" s="32">
        <v>39</v>
      </c>
      <c r="B212" s="115"/>
      <c r="C212" s="20" t="str">
        <f>IF(A212="","VARA",VLOOKUP(A212,'[1]varas'!$A$4:$B$67,2))</f>
        <v>2ª VT Olinda</v>
      </c>
      <c r="D212" s="15"/>
      <c r="E212" s="16"/>
      <c r="F212" s="15">
        <v>0</v>
      </c>
      <c r="G212" s="15">
        <v>0</v>
      </c>
      <c r="H212" s="15">
        <v>0</v>
      </c>
      <c r="I212" s="17">
        <f>SUM(F212:H212)</f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f>SUM(J212:O212)</f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17.25" customHeight="1">
      <c r="A213" s="32">
        <v>40</v>
      </c>
      <c r="B213" s="115"/>
      <c r="C213" s="20" t="str">
        <f>IF(A213="","VARA",VLOOKUP(A213,'[1]varas'!$A$4:$B$67,2))</f>
        <v>3ª VT Olinda</v>
      </c>
      <c r="D213" s="15"/>
      <c r="E213" s="16"/>
      <c r="F213" s="15">
        <v>0</v>
      </c>
      <c r="G213" s="15">
        <v>0</v>
      </c>
      <c r="H213" s="15">
        <v>0</v>
      </c>
      <c r="I213" s="17">
        <f>SUM(F213:H213)</f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f>SUM(J213:O213)</f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8"/>
      <c r="W213" s="18"/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53" customFormat="1" ht="17.25" customHeight="1">
      <c r="A214" s="47"/>
      <c r="B214" s="115"/>
      <c r="C214" s="20" t="s">
        <v>12</v>
      </c>
      <c r="D214" s="24"/>
      <c r="E214" s="48"/>
      <c r="F214" s="24">
        <f>SUM(F210:F213)</f>
        <v>138</v>
      </c>
      <c r="G214" s="24">
        <f>SUM(G210:G213)</f>
        <v>0</v>
      </c>
      <c r="H214" s="24">
        <f>SUM(H210:H213)</f>
        <v>0</v>
      </c>
      <c r="I214" s="40">
        <f>SUM(F214:H214)</f>
        <v>138</v>
      </c>
      <c r="J214" s="24">
        <f aca="true" t="shared" si="59" ref="J214:O214">SUM(J210:J213)</f>
        <v>41</v>
      </c>
      <c r="K214" s="24">
        <f t="shared" si="59"/>
        <v>2</v>
      </c>
      <c r="L214" s="24">
        <f t="shared" si="59"/>
        <v>0</v>
      </c>
      <c r="M214" s="24">
        <f t="shared" si="59"/>
        <v>0</v>
      </c>
      <c r="N214" s="24">
        <f t="shared" si="59"/>
        <v>0</v>
      </c>
      <c r="O214" s="24">
        <f t="shared" si="59"/>
        <v>95</v>
      </c>
      <c r="P214" s="24">
        <f>SUM(J214:O214)</f>
        <v>138</v>
      </c>
      <c r="Q214" s="24">
        <f>SUM(Q210:Q213)</f>
        <v>0</v>
      </c>
      <c r="R214" s="24">
        <f>SUM(R210:R213)</f>
        <v>0</v>
      </c>
      <c r="S214" s="24">
        <f>SUM(S210:S213)</f>
        <v>0</v>
      </c>
      <c r="T214" s="24">
        <f>SUM(T210:T213)</f>
        <v>0</v>
      </c>
      <c r="U214" s="24">
        <f>SUM(U210:U213)</f>
        <v>226</v>
      </c>
      <c r="V214" s="26">
        <f>IF(I214-Q214=0,"",IF(D214="",(P214+S214)/(I214-Q214),IF(AND(D214&lt;&gt;"",(P214+S214)/(I214-Q214)&gt;=50%),(P214+S214)/(I214-Q214),"")))</f>
        <v>1</v>
      </c>
      <c r="W214" s="26">
        <f>IF(I214=O214,"",IF(V214="",0,(P214+Q214+S214-O214)/(I214-O214)))</f>
        <v>1</v>
      </c>
      <c r="X214" s="49"/>
      <c r="Y214" s="49"/>
      <c r="Z214" s="49"/>
      <c r="AA214" s="49"/>
      <c r="AB214" s="50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39" customFormat="1" ht="21" customHeight="1">
      <c r="A215" s="32"/>
      <c r="B215" s="115" t="s">
        <v>77</v>
      </c>
      <c r="C215" s="14" t="s">
        <v>2</v>
      </c>
      <c r="D215" s="29" t="s">
        <v>30</v>
      </c>
      <c r="E215" s="16" t="s">
        <v>204</v>
      </c>
      <c r="F215" s="15"/>
      <c r="G215" s="15"/>
      <c r="H215" s="15"/>
      <c r="I215" s="17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1" customHeight="1">
      <c r="A216" s="32">
        <v>12</v>
      </c>
      <c r="B216" s="115"/>
      <c r="C216" s="20" t="str">
        <f>IF(A216="","VARA",VLOOKUP(A216,'[1]varas'!$A$4:$B$67,2))</f>
        <v>12ª VT Recife</v>
      </c>
      <c r="D216" s="15"/>
      <c r="E216" s="16"/>
      <c r="F216" s="15">
        <v>9</v>
      </c>
      <c r="G216" s="15">
        <v>7</v>
      </c>
      <c r="H216" s="15">
        <v>25</v>
      </c>
      <c r="I216" s="17">
        <f>SUM(F216:H216)</f>
        <v>41</v>
      </c>
      <c r="J216" s="15">
        <v>20</v>
      </c>
      <c r="K216" s="15">
        <v>1</v>
      </c>
      <c r="L216" s="15">
        <v>5</v>
      </c>
      <c r="M216" s="15">
        <v>0</v>
      </c>
      <c r="N216" s="15">
        <v>0</v>
      </c>
      <c r="O216" s="15">
        <v>0</v>
      </c>
      <c r="P216" s="15">
        <f>SUM(J216:O216)</f>
        <v>26</v>
      </c>
      <c r="Q216" s="15">
        <v>0</v>
      </c>
      <c r="R216" s="15">
        <v>14</v>
      </c>
      <c r="S216" s="15">
        <v>0</v>
      </c>
      <c r="T216" s="15">
        <v>1</v>
      </c>
      <c r="U216" s="15">
        <v>0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18" customHeight="1">
      <c r="A217" s="32"/>
      <c r="B217" s="115"/>
      <c r="C217" s="21" t="s">
        <v>12</v>
      </c>
      <c r="D217" s="33"/>
      <c r="E217" s="23"/>
      <c r="F217" s="24">
        <f>SUM(F215:F216)</f>
        <v>9</v>
      </c>
      <c r="G217" s="24">
        <f>SUM(G215:G216)</f>
        <v>7</v>
      </c>
      <c r="H217" s="24">
        <f>SUM(H215:H216)</f>
        <v>25</v>
      </c>
      <c r="I217" s="40">
        <f>SUM(F217:H217)</f>
        <v>41</v>
      </c>
      <c r="J217" s="24">
        <f aca="true" t="shared" si="60" ref="J217:O217">SUM(J215:J216)</f>
        <v>20</v>
      </c>
      <c r="K217" s="24">
        <f t="shared" si="60"/>
        <v>1</v>
      </c>
      <c r="L217" s="24">
        <f t="shared" si="60"/>
        <v>5</v>
      </c>
      <c r="M217" s="24">
        <f t="shared" si="60"/>
        <v>0</v>
      </c>
      <c r="N217" s="24">
        <f t="shared" si="60"/>
        <v>0</v>
      </c>
      <c r="O217" s="24">
        <f t="shared" si="60"/>
        <v>0</v>
      </c>
      <c r="P217" s="24">
        <f>SUM(J217:O217)</f>
        <v>26</v>
      </c>
      <c r="Q217" s="24">
        <f>SUM(Q215:Q216)</f>
        <v>0</v>
      </c>
      <c r="R217" s="24">
        <f>SUM(R215:R216)</f>
        <v>14</v>
      </c>
      <c r="S217" s="24">
        <f>SUM(S215:S216)</f>
        <v>0</v>
      </c>
      <c r="T217" s="24">
        <f>SUM(T215:T216)</f>
        <v>1</v>
      </c>
      <c r="U217" s="24">
        <f>SUM(U215:U216)</f>
        <v>0</v>
      </c>
      <c r="V217" s="26">
        <f>IF(I217-Q217=0,"",IF(D217="",(P217+S217)/(I217-Q217),IF(AND(D217&lt;&gt;"",(P217+S217)/(I217-Q217)&gt;=50%),(P217+S217)/(I217-Q217),"")))</f>
        <v>0.6341463414634146</v>
      </c>
      <c r="W217" s="26">
        <f>IF(I217=O217,"",IF(V217="",0,(P217+Q217+S217-O217)/(I217-O217)))</f>
        <v>0.6341463414634146</v>
      </c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18.75" customHeight="1">
      <c r="A218" s="32"/>
      <c r="B218" s="115" t="s">
        <v>78</v>
      </c>
      <c r="C218" s="14" t="s">
        <v>161</v>
      </c>
      <c r="D218" s="29"/>
      <c r="E218" s="16" t="s">
        <v>27</v>
      </c>
      <c r="F218" s="15"/>
      <c r="G218" s="15"/>
      <c r="H218" s="15"/>
      <c r="I218" s="17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18.75" customHeight="1">
      <c r="A219" s="32">
        <v>6</v>
      </c>
      <c r="B219" s="115"/>
      <c r="C219" s="20" t="str">
        <f>IF(A219="","VARA",VLOOKUP(A219,'[1]varas'!$A$4:$B$67,2))</f>
        <v>6ª VT Recife</v>
      </c>
      <c r="D219" s="15"/>
      <c r="E219" s="16"/>
      <c r="F219" s="15">
        <v>0</v>
      </c>
      <c r="G219" s="15">
        <v>0</v>
      </c>
      <c r="H219" s="15">
        <v>5</v>
      </c>
      <c r="I219" s="17">
        <f>SUM(F219:H219)</f>
        <v>5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f>SUM(J219:O219)</f>
        <v>0</v>
      </c>
      <c r="Q219" s="15">
        <v>0</v>
      </c>
      <c r="R219" s="15">
        <v>5</v>
      </c>
      <c r="S219" s="15">
        <v>0</v>
      </c>
      <c r="T219" s="15">
        <v>0</v>
      </c>
      <c r="U219" s="15">
        <v>0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18.75" customHeight="1">
      <c r="A220" s="32">
        <v>14</v>
      </c>
      <c r="B220" s="115"/>
      <c r="C220" s="20" t="str">
        <f>IF(A220="","VARA",VLOOKUP(A220,'[1]varas'!$A$4:$B$67,2))</f>
        <v>14ª VT Recife</v>
      </c>
      <c r="D220" s="15"/>
      <c r="E220" s="16"/>
      <c r="F220" s="15">
        <v>9</v>
      </c>
      <c r="G220" s="15">
        <v>0</v>
      </c>
      <c r="H220" s="15">
        <v>0</v>
      </c>
      <c r="I220" s="17">
        <f>SUM(F220:H220)</f>
        <v>9</v>
      </c>
      <c r="J220" s="15">
        <v>0</v>
      </c>
      <c r="K220" s="15">
        <v>1</v>
      </c>
      <c r="L220" s="15">
        <v>0</v>
      </c>
      <c r="M220" s="15">
        <v>1</v>
      </c>
      <c r="N220" s="15">
        <v>0</v>
      </c>
      <c r="O220" s="15">
        <v>4</v>
      </c>
      <c r="P220" s="15">
        <f>SUM(J220:O220)</f>
        <v>6</v>
      </c>
      <c r="Q220" s="15">
        <v>0</v>
      </c>
      <c r="R220" s="15">
        <v>3</v>
      </c>
      <c r="S220" s="15">
        <v>0</v>
      </c>
      <c r="T220" s="15">
        <v>0</v>
      </c>
      <c r="U220" s="15">
        <v>15</v>
      </c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21" customHeight="1">
      <c r="A221" s="32">
        <v>19</v>
      </c>
      <c r="B221" s="115"/>
      <c r="C221" s="20" t="str">
        <f>IF(A221="","VARA",VLOOKUP(A221,'[1]varas'!$A$4:$B$67,2))</f>
        <v>19ª VT Recife</v>
      </c>
      <c r="D221" s="15"/>
      <c r="E221" s="16"/>
      <c r="F221" s="15">
        <v>0</v>
      </c>
      <c r="G221" s="15">
        <v>0</v>
      </c>
      <c r="H221" s="15">
        <v>2</v>
      </c>
      <c r="I221" s="17">
        <f aca="true" t="shared" si="61" ref="I221:I230">SUM(F221:H221)</f>
        <v>2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f aca="true" t="shared" si="62" ref="P221:P230">SUM(J221:O221)</f>
        <v>0</v>
      </c>
      <c r="Q221" s="15">
        <v>0</v>
      </c>
      <c r="R221" s="15">
        <v>2</v>
      </c>
      <c r="S221" s="15">
        <v>0</v>
      </c>
      <c r="T221" s="15">
        <v>0</v>
      </c>
      <c r="U221" s="15">
        <v>0</v>
      </c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1" customHeight="1">
      <c r="A222" s="32">
        <v>22</v>
      </c>
      <c r="B222" s="115"/>
      <c r="C222" s="20" t="str">
        <f>IF(A222="","VARA",VLOOKUP(A222,'[1]varas'!$A$4:$B$67,2))</f>
        <v>22ª VT Recife</v>
      </c>
      <c r="D222" s="15"/>
      <c r="E222" s="16"/>
      <c r="F222" s="15">
        <v>13</v>
      </c>
      <c r="G222" s="15">
        <v>0</v>
      </c>
      <c r="H222" s="15">
        <v>14</v>
      </c>
      <c r="I222" s="17">
        <f t="shared" si="61"/>
        <v>27</v>
      </c>
      <c r="J222" s="15">
        <v>0</v>
      </c>
      <c r="K222" s="15">
        <v>1</v>
      </c>
      <c r="L222" s="15">
        <v>0</v>
      </c>
      <c r="M222" s="15">
        <v>0</v>
      </c>
      <c r="N222" s="15">
        <v>0</v>
      </c>
      <c r="O222" s="15">
        <v>7</v>
      </c>
      <c r="P222" s="15">
        <f t="shared" si="62"/>
        <v>8</v>
      </c>
      <c r="Q222" s="15">
        <v>0</v>
      </c>
      <c r="R222" s="15">
        <v>19</v>
      </c>
      <c r="S222" s="15">
        <v>0</v>
      </c>
      <c r="T222" s="15">
        <v>0</v>
      </c>
      <c r="U222" s="15">
        <v>30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" customHeight="1">
      <c r="A223" s="32">
        <v>41</v>
      </c>
      <c r="B223" s="115"/>
      <c r="C223" s="20" t="str">
        <f>IF(A223="","VARA",VLOOKUP(A223,'[1]varas'!$A$4:$B$67,2))</f>
        <v>1ª VT Paulista</v>
      </c>
      <c r="D223" s="15"/>
      <c r="E223" s="16"/>
      <c r="F223" s="15">
        <v>5</v>
      </c>
      <c r="G223" s="15">
        <v>0</v>
      </c>
      <c r="H223" s="15">
        <v>0</v>
      </c>
      <c r="I223" s="17">
        <f t="shared" si="61"/>
        <v>5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f t="shared" si="62"/>
        <v>0</v>
      </c>
      <c r="Q223" s="15">
        <v>5</v>
      </c>
      <c r="R223" s="15">
        <v>0</v>
      </c>
      <c r="S223" s="15">
        <v>0</v>
      </c>
      <c r="T223" s="15">
        <v>0</v>
      </c>
      <c r="U223" s="15">
        <v>6</v>
      </c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39" customFormat="1" ht="21" customHeight="1">
      <c r="A224" s="32">
        <v>61</v>
      </c>
      <c r="B224" s="115"/>
      <c r="C224" s="20" t="str">
        <f>IF(A224="","VARA",VLOOKUP(A224,'[1]varas'!$A$4:$B$67,2))</f>
        <v>VT Vitória</v>
      </c>
      <c r="D224" s="15"/>
      <c r="E224" s="16"/>
      <c r="F224" s="15">
        <v>7</v>
      </c>
      <c r="G224" s="15">
        <v>0</v>
      </c>
      <c r="H224" s="15">
        <v>0</v>
      </c>
      <c r="I224" s="17">
        <f t="shared" si="61"/>
        <v>7</v>
      </c>
      <c r="J224" s="15">
        <v>0</v>
      </c>
      <c r="K224" s="15">
        <v>1</v>
      </c>
      <c r="L224" s="15">
        <v>0</v>
      </c>
      <c r="M224" s="15">
        <v>0</v>
      </c>
      <c r="N224" s="15">
        <v>0</v>
      </c>
      <c r="O224" s="15">
        <v>6</v>
      </c>
      <c r="P224" s="15">
        <f t="shared" si="62"/>
        <v>7</v>
      </c>
      <c r="Q224" s="15">
        <v>0</v>
      </c>
      <c r="R224" s="15">
        <v>0</v>
      </c>
      <c r="S224" s="15">
        <v>0</v>
      </c>
      <c r="T224" s="15">
        <v>0</v>
      </c>
      <c r="U224" s="15">
        <v>18</v>
      </c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39" customFormat="1" ht="21" customHeight="1">
      <c r="A225" s="32">
        <v>57</v>
      </c>
      <c r="B225" s="115"/>
      <c r="C225" s="20" t="str">
        <f>IF(A225="","VARA",VLOOKUP(A225,'[1]varas'!$A$4:$B$67,2))</f>
        <v>VT S. Lourenço </v>
      </c>
      <c r="D225" s="15"/>
      <c r="E225" s="16"/>
      <c r="F225" s="15">
        <v>0</v>
      </c>
      <c r="G225" s="15">
        <v>2</v>
      </c>
      <c r="H225" s="15">
        <v>0</v>
      </c>
      <c r="I225" s="17">
        <f>SUM(F225:H225)</f>
        <v>2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f>SUM(J225:O225)</f>
        <v>0</v>
      </c>
      <c r="Q225" s="15">
        <v>0</v>
      </c>
      <c r="R225" s="15">
        <v>2</v>
      </c>
      <c r="S225" s="15">
        <v>0</v>
      </c>
      <c r="T225" s="15">
        <v>0</v>
      </c>
      <c r="U225" s="15">
        <v>0</v>
      </c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21" customHeight="1">
      <c r="A226" s="32">
        <v>64</v>
      </c>
      <c r="B226" s="115"/>
      <c r="C226" s="20" t="str">
        <f>IF(A226="","VARA",VLOOKUP(A226,'[1]varas'!$A$4:$B$67,2))</f>
        <v>PAJT Surubim</v>
      </c>
      <c r="D226" s="15"/>
      <c r="E226" s="16"/>
      <c r="F226" s="15">
        <v>0</v>
      </c>
      <c r="G226" s="15">
        <v>0</v>
      </c>
      <c r="H226" s="15">
        <v>1</v>
      </c>
      <c r="I226" s="17">
        <f t="shared" si="61"/>
        <v>1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f t="shared" si="62"/>
        <v>0</v>
      </c>
      <c r="Q226" s="15">
        <v>0</v>
      </c>
      <c r="R226" s="15">
        <v>1</v>
      </c>
      <c r="S226" s="15">
        <v>0</v>
      </c>
      <c r="T226" s="15">
        <v>0</v>
      </c>
      <c r="U226" s="15">
        <v>0</v>
      </c>
      <c r="V226" s="18"/>
      <c r="W226" s="18"/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39" customFormat="1" ht="21" customHeight="1">
      <c r="A227" s="32">
        <v>48</v>
      </c>
      <c r="B227" s="115"/>
      <c r="C227" s="20" t="str">
        <f>IF(A227="","VARA",VLOOKUP(A227,'[1]varas'!$A$4:$B$67,2))</f>
        <v>VT Catende</v>
      </c>
      <c r="D227" s="15"/>
      <c r="E227" s="16"/>
      <c r="F227" s="15">
        <v>0</v>
      </c>
      <c r="G227" s="15">
        <v>0</v>
      </c>
      <c r="H227" s="15">
        <v>63</v>
      </c>
      <c r="I227" s="17">
        <f t="shared" si="61"/>
        <v>63</v>
      </c>
      <c r="J227" s="15">
        <v>61</v>
      </c>
      <c r="K227" s="15">
        <v>1</v>
      </c>
      <c r="L227" s="15">
        <v>0</v>
      </c>
      <c r="M227" s="15">
        <v>1</v>
      </c>
      <c r="N227" s="15">
        <v>0</v>
      </c>
      <c r="O227" s="15">
        <v>0</v>
      </c>
      <c r="P227" s="15">
        <f t="shared" si="62"/>
        <v>63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39" customFormat="1" ht="21" customHeight="1">
      <c r="A228" s="32">
        <v>49</v>
      </c>
      <c r="B228" s="115"/>
      <c r="C228" s="20" t="str">
        <f>IF(A228="","VARA",VLOOKUP(A228,'[1]varas'!$A$4:$B$67,2))</f>
        <v>VT Escada</v>
      </c>
      <c r="D228" s="15"/>
      <c r="E228" s="16"/>
      <c r="F228" s="15">
        <v>0</v>
      </c>
      <c r="G228" s="15">
        <v>0</v>
      </c>
      <c r="H228" s="15">
        <v>2</v>
      </c>
      <c r="I228" s="17">
        <f t="shared" si="61"/>
        <v>2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f t="shared" si="62"/>
        <v>0</v>
      </c>
      <c r="Q228" s="15">
        <v>0</v>
      </c>
      <c r="R228" s="15">
        <v>2</v>
      </c>
      <c r="S228" s="15">
        <v>0</v>
      </c>
      <c r="T228" s="15">
        <v>0</v>
      </c>
      <c r="U228" s="15">
        <v>0</v>
      </c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39" customFormat="1" ht="21" customHeight="1">
      <c r="A229" s="32">
        <v>51</v>
      </c>
      <c r="B229" s="115"/>
      <c r="C229" s="20" t="str">
        <f>IF(A229="","VARA",VLOOKUP(A229,'[1]varas'!$A$4:$B$67,2))</f>
        <v>VT Goiana</v>
      </c>
      <c r="D229" s="15"/>
      <c r="E229" s="16"/>
      <c r="F229" s="15">
        <f>83+102+0</f>
        <v>185</v>
      </c>
      <c r="G229" s="15">
        <v>18</v>
      </c>
      <c r="H229" s="15">
        <v>78</v>
      </c>
      <c r="I229" s="17">
        <f t="shared" si="61"/>
        <v>281</v>
      </c>
      <c r="J229" s="15">
        <v>4</v>
      </c>
      <c r="K229" s="15">
        <v>26</v>
      </c>
      <c r="L229" s="15">
        <v>3</v>
      </c>
      <c r="M229" s="15">
        <v>3</v>
      </c>
      <c r="N229" s="15">
        <v>0</v>
      </c>
      <c r="O229" s="15">
        <v>102</v>
      </c>
      <c r="P229" s="15">
        <f t="shared" si="62"/>
        <v>138</v>
      </c>
      <c r="Q229" s="15">
        <v>32</v>
      </c>
      <c r="R229" s="15">
        <v>111</v>
      </c>
      <c r="S229" s="15">
        <v>0</v>
      </c>
      <c r="T229" s="15">
        <v>0</v>
      </c>
      <c r="U229" s="15">
        <v>224</v>
      </c>
      <c r="V229" s="18"/>
      <c r="W229" s="18"/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53" customFormat="1" ht="17.25" customHeight="1">
      <c r="A230" s="47"/>
      <c r="B230" s="115"/>
      <c r="C230" s="20" t="s">
        <v>12</v>
      </c>
      <c r="D230" s="24"/>
      <c r="E230" s="48"/>
      <c r="F230" s="24">
        <f>SUM(F218:F229)</f>
        <v>219</v>
      </c>
      <c r="G230" s="24">
        <f>SUM(G218:G229)</f>
        <v>20</v>
      </c>
      <c r="H230" s="24">
        <f>SUM(H218:H229)</f>
        <v>165</v>
      </c>
      <c r="I230" s="40">
        <f t="shared" si="61"/>
        <v>404</v>
      </c>
      <c r="J230" s="24">
        <f aca="true" t="shared" si="63" ref="J230:O230">SUM(J218:J229)</f>
        <v>65</v>
      </c>
      <c r="K230" s="24">
        <f t="shared" si="63"/>
        <v>30</v>
      </c>
      <c r="L230" s="24">
        <f t="shared" si="63"/>
        <v>3</v>
      </c>
      <c r="M230" s="24">
        <f t="shared" si="63"/>
        <v>5</v>
      </c>
      <c r="N230" s="24">
        <f t="shared" si="63"/>
        <v>0</v>
      </c>
      <c r="O230" s="24">
        <f t="shared" si="63"/>
        <v>119</v>
      </c>
      <c r="P230" s="24">
        <f t="shared" si="62"/>
        <v>222</v>
      </c>
      <c r="Q230" s="24">
        <f>SUM(Q218:Q229)</f>
        <v>37</v>
      </c>
      <c r="R230" s="24">
        <f>SUM(R218:R229)</f>
        <v>145</v>
      </c>
      <c r="S230" s="24">
        <f>SUM(S218:S229)</f>
        <v>0</v>
      </c>
      <c r="T230" s="24">
        <f>SUM(T218:T229)</f>
        <v>0</v>
      </c>
      <c r="U230" s="24">
        <f>SUM(U218:U229)</f>
        <v>293</v>
      </c>
      <c r="V230" s="26">
        <f>IF(I230-Q230=0,"",IF(D230="",(P230+S230)/(I230-Q230),IF(AND(D230&lt;&gt;"",(P230+S230)/(I230-Q230)&gt;=50%),(P230+S230)/(I230-Q230),"")))</f>
        <v>0.6049046321525886</v>
      </c>
      <c r="W230" s="26">
        <f>IF(I230=O230,"",IF(V230="",0,(P230+Q230+S230-O230)/(I230-O230)))</f>
        <v>0.49122807017543857</v>
      </c>
      <c r="X230" s="49"/>
      <c r="Y230" s="49"/>
      <c r="Z230" s="49"/>
      <c r="AA230" s="49"/>
      <c r="AB230" s="50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39" customFormat="1" ht="26.25" customHeight="1">
      <c r="A231" s="32"/>
      <c r="B231" s="115" t="s">
        <v>79</v>
      </c>
      <c r="C231" s="14" t="s">
        <v>2</v>
      </c>
      <c r="D231" s="29" t="s">
        <v>165</v>
      </c>
      <c r="E231" s="16" t="s">
        <v>193</v>
      </c>
      <c r="F231" s="15"/>
      <c r="G231" s="15"/>
      <c r="H231" s="15"/>
      <c r="I231" s="17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18.75" customHeight="1">
      <c r="A232" s="32">
        <v>66</v>
      </c>
      <c r="B232" s="115"/>
      <c r="C232" s="20" t="s">
        <v>167</v>
      </c>
      <c r="D232" s="15"/>
      <c r="E232" s="16"/>
      <c r="F232" s="15">
        <f>22+32+4</f>
        <v>58</v>
      </c>
      <c r="G232" s="15">
        <v>0</v>
      </c>
      <c r="H232" s="15">
        <v>0</v>
      </c>
      <c r="I232" s="17">
        <f>SUM(F232:H232)</f>
        <v>58</v>
      </c>
      <c r="J232" s="15">
        <v>18</v>
      </c>
      <c r="K232" s="15">
        <v>4</v>
      </c>
      <c r="L232" s="15">
        <v>4</v>
      </c>
      <c r="M232" s="15">
        <v>0</v>
      </c>
      <c r="N232" s="15">
        <v>0</v>
      </c>
      <c r="O232" s="15">
        <v>32</v>
      </c>
      <c r="P232" s="15">
        <f>SUM(J232:O232)</f>
        <v>58</v>
      </c>
      <c r="Q232" s="15">
        <v>0</v>
      </c>
      <c r="R232" s="15">
        <v>0</v>
      </c>
      <c r="S232" s="15">
        <v>0</v>
      </c>
      <c r="T232" s="15">
        <v>0</v>
      </c>
      <c r="U232" s="15">
        <v>149</v>
      </c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53" customFormat="1" ht="18" customHeight="1">
      <c r="A233" s="47"/>
      <c r="B233" s="115"/>
      <c r="C233" s="21" t="s">
        <v>12</v>
      </c>
      <c r="D233" s="51"/>
      <c r="E233" s="52"/>
      <c r="F233" s="24">
        <f>SUM(F231:F232)</f>
        <v>58</v>
      </c>
      <c r="G233" s="24">
        <f>SUM(G231:G232)</f>
        <v>0</v>
      </c>
      <c r="H233" s="24">
        <f>SUM(H231:H232)</f>
        <v>0</v>
      </c>
      <c r="I233" s="25">
        <f>SUM(F233:H233)</f>
        <v>58</v>
      </c>
      <c r="J233" s="24">
        <f aca="true" t="shared" si="64" ref="J233:O233">SUM(J231:J232)</f>
        <v>18</v>
      </c>
      <c r="K233" s="24">
        <f t="shared" si="64"/>
        <v>4</v>
      </c>
      <c r="L233" s="24">
        <f t="shared" si="64"/>
        <v>4</v>
      </c>
      <c r="M233" s="24">
        <f t="shared" si="64"/>
        <v>0</v>
      </c>
      <c r="N233" s="24">
        <f t="shared" si="64"/>
        <v>0</v>
      </c>
      <c r="O233" s="24">
        <f t="shared" si="64"/>
        <v>32</v>
      </c>
      <c r="P233" s="24">
        <f>SUM(J233:O233)</f>
        <v>58</v>
      </c>
      <c r="Q233" s="24">
        <f>SUM(Q231:Q232)</f>
        <v>0</v>
      </c>
      <c r="R233" s="24">
        <f>SUM(R231:R232)</f>
        <v>0</v>
      </c>
      <c r="S233" s="24">
        <f>SUM(S231:S232)</f>
        <v>0</v>
      </c>
      <c r="T233" s="24">
        <f>SUM(T231:T232)</f>
        <v>0</v>
      </c>
      <c r="U233" s="24">
        <f>SUM(U231:U232)</f>
        <v>149</v>
      </c>
      <c r="V233" s="26">
        <f>IF(I233-Q233=0,"",IF(D233="",(P233+S233)/(I233-Q233),IF(AND(D233&lt;&gt;"",(P233+S233)/(I233-Q233)&gt;=50%),(P233+S233)/(I233-Q233),"")))</f>
        <v>1</v>
      </c>
      <c r="W233" s="26">
        <f>IF(I233=O233,"",IF(V233="",0,(P233+Q233+S233-O233)/(I233-O233)))</f>
        <v>1</v>
      </c>
      <c r="X233" s="49"/>
      <c r="Y233" s="49"/>
      <c r="Z233" s="49"/>
      <c r="AA233" s="49"/>
      <c r="AB233" s="50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39" customFormat="1" ht="21" customHeight="1">
      <c r="A234" s="32"/>
      <c r="B234" s="115" t="s">
        <v>80</v>
      </c>
      <c r="C234" s="14" t="s">
        <v>2</v>
      </c>
      <c r="D234" s="29"/>
      <c r="E234" s="16" t="s">
        <v>27</v>
      </c>
      <c r="F234" s="15"/>
      <c r="G234" s="15"/>
      <c r="H234" s="15"/>
      <c r="I234" s="17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8"/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20.25" customHeight="1">
      <c r="A235" s="32">
        <v>29</v>
      </c>
      <c r="B235" s="115"/>
      <c r="C235" s="20" t="str">
        <f>IF(A235="","VARA",VLOOKUP(A235,'[1]varas'!$A$4:$B$67,2))</f>
        <v>2ª VT Caruaru</v>
      </c>
      <c r="D235" s="15"/>
      <c r="E235" s="16"/>
      <c r="F235" s="15">
        <f>62+46+9</f>
        <v>117</v>
      </c>
      <c r="G235" s="15">
        <v>5</v>
      </c>
      <c r="H235" s="15">
        <v>2</v>
      </c>
      <c r="I235" s="17">
        <f>SUM(F235:H235)</f>
        <v>124</v>
      </c>
      <c r="J235" s="15">
        <v>36</v>
      </c>
      <c r="K235" s="15">
        <v>26</v>
      </c>
      <c r="L235" s="15">
        <v>7</v>
      </c>
      <c r="M235" s="15">
        <v>2</v>
      </c>
      <c r="N235" s="15">
        <v>0</v>
      </c>
      <c r="O235" s="15">
        <v>46</v>
      </c>
      <c r="P235" s="15">
        <f>SUM(J235:O235)</f>
        <v>117</v>
      </c>
      <c r="Q235" s="15">
        <v>5</v>
      </c>
      <c r="R235" s="15">
        <v>2</v>
      </c>
      <c r="S235" s="15">
        <v>0</v>
      </c>
      <c r="T235" s="15">
        <v>0</v>
      </c>
      <c r="U235" s="15">
        <v>276</v>
      </c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53" customFormat="1" ht="20.25" customHeight="1">
      <c r="A236" s="47"/>
      <c r="B236" s="115"/>
      <c r="C236" s="21" t="s">
        <v>12</v>
      </c>
      <c r="D236" s="51"/>
      <c r="E236" s="52"/>
      <c r="F236" s="24">
        <f>SUM(F234:F235)</f>
        <v>117</v>
      </c>
      <c r="G236" s="24">
        <f>SUM(G234:G235)</f>
        <v>5</v>
      </c>
      <c r="H236" s="24">
        <f>SUM(H234:H235)</f>
        <v>2</v>
      </c>
      <c r="I236" s="25">
        <f>SUM(F236:H236)</f>
        <v>124</v>
      </c>
      <c r="J236" s="24">
        <f aca="true" t="shared" si="65" ref="J236:O236">SUM(J234:J235)</f>
        <v>36</v>
      </c>
      <c r="K236" s="24">
        <f t="shared" si="65"/>
        <v>26</v>
      </c>
      <c r="L236" s="24">
        <f t="shared" si="65"/>
        <v>7</v>
      </c>
      <c r="M236" s="24">
        <f t="shared" si="65"/>
        <v>2</v>
      </c>
      <c r="N236" s="24">
        <f t="shared" si="65"/>
        <v>0</v>
      </c>
      <c r="O236" s="24">
        <f t="shared" si="65"/>
        <v>46</v>
      </c>
      <c r="P236" s="24">
        <f>SUM(J236:O236)</f>
        <v>117</v>
      </c>
      <c r="Q236" s="24">
        <f>SUM(Q234:Q235)</f>
        <v>5</v>
      </c>
      <c r="R236" s="24">
        <f>SUM(R234:R235)</f>
        <v>2</v>
      </c>
      <c r="S236" s="24">
        <f>SUM(S234:S235)</f>
        <v>0</v>
      </c>
      <c r="T236" s="24">
        <f>SUM(T234:T235)</f>
        <v>0</v>
      </c>
      <c r="U236" s="24">
        <f>SUM(U234:U235)</f>
        <v>276</v>
      </c>
      <c r="V236" s="26">
        <f>IF(I236-Q236=0,"",IF(D236="",(P236+S236)/(I236-Q236),IF(AND(D236&lt;&gt;"",(P236+S236)/(I236-Q236)&gt;=50%),(P236+S236)/(I236-Q236),"")))</f>
        <v>0.9831932773109243</v>
      </c>
      <c r="W236" s="26">
        <f>IF(I236=O236,"",IF(V236="",0,(P236+Q236+S236-O236)/(I236-O236)))</f>
        <v>0.9743589743589743</v>
      </c>
      <c r="X236" s="49"/>
      <c r="Y236" s="49"/>
      <c r="Z236" s="49"/>
      <c r="AA236" s="49"/>
      <c r="AB236" s="50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39" customFormat="1" ht="18.75" customHeight="1">
      <c r="A237" s="32"/>
      <c r="B237" s="115" t="s">
        <v>81</v>
      </c>
      <c r="C237" s="14" t="s">
        <v>2</v>
      </c>
      <c r="D237" s="29"/>
      <c r="E237" s="16" t="s">
        <v>27</v>
      </c>
      <c r="F237" s="15"/>
      <c r="G237" s="15"/>
      <c r="H237" s="15"/>
      <c r="I237" s="17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8"/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18.75" customHeight="1">
      <c r="A238" s="32">
        <v>32</v>
      </c>
      <c r="B238" s="115"/>
      <c r="C238" s="20" t="str">
        <f>IF(A238="","VARA",VLOOKUP(A238,'[1]varas'!$A$4:$B$67,2))</f>
        <v>1ª VT Ipojuca</v>
      </c>
      <c r="D238" s="15"/>
      <c r="E238" s="16"/>
      <c r="F238" s="15">
        <f>21+16+5</f>
        <v>42</v>
      </c>
      <c r="G238" s="15">
        <v>12</v>
      </c>
      <c r="H238" s="15">
        <v>24</v>
      </c>
      <c r="I238" s="17">
        <f>SUM(F238:H238)</f>
        <v>78</v>
      </c>
      <c r="J238" s="15">
        <v>26</v>
      </c>
      <c r="K238" s="15">
        <v>7</v>
      </c>
      <c r="L238" s="15">
        <v>3</v>
      </c>
      <c r="M238" s="15">
        <v>2</v>
      </c>
      <c r="N238" s="15">
        <v>0</v>
      </c>
      <c r="O238" s="15">
        <v>16</v>
      </c>
      <c r="P238" s="15">
        <f>SUM(J238:O238)</f>
        <v>54</v>
      </c>
      <c r="Q238" s="15">
        <v>6</v>
      </c>
      <c r="R238" s="15">
        <v>18</v>
      </c>
      <c r="S238" s="15">
        <v>0</v>
      </c>
      <c r="T238" s="15">
        <v>0</v>
      </c>
      <c r="U238" s="15">
        <v>98</v>
      </c>
      <c r="V238" s="18"/>
      <c r="W238" s="18"/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18" customHeight="1">
      <c r="A239" s="32"/>
      <c r="B239" s="115"/>
      <c r="C239" s="21" t="s">
        <v>12</v>
      </c>
      <c r="D239" s="33"/>
      <c r="E239" s="23"/>
      <c r="F239" s="24">
        <f>SUM(F237:F238)</f>
        <v>42</v>
      </c>
      <c r="G239" s="24">
        <f>SUM(G237:G238)</f>
        <v>12</v>
      </c>
      <c r="H239" s="24">
        <f>SUM(H237:H238)</f>
        <v>24</v>
      </c>
      <c r="I239" s="40">
        <f>SUM(F239:H239)</f>
        <v>78</v>
      </c>
      <c r="J239" s="24">
        <f aca="true" t="shared" si="66" ref="J239:O239">SUM(J237:J238)</f>
        <v>26</v>
      </c>
      <c r="K239" s="24">
        <f t="shared" si="66"/>
        <v>7</v>
      </c>
      <c r="L239" s="24">
        <f t="shared" si="66"/>
        <v>3</v>
      </c>
      <c r="M239" s="24">
        <f t="shared" si="66"/>
        <v>2</v>
      </c>
      <c r="N239" s="24">
        <f t="shared" si="66"/>
        <v>0</v>
      </c>
      <c r="O239" s="24">
        <f t="shared" si="66"/>
        <v>16</v>
      </c>
      <c r="P239" s="24">
        <f>SUM(J239:O239)</f>
        <v>54</v>
      </c>
      <c r="Q239" s="24">
        <f>SUM(Q237:Q238)</f>
        <v>6</v>
      </c>
      <c r="R239" s="24">
        <f>SUM(R237:R238)</f>
        <v>18</v>
      </c>
      <c r="S239" s="24">
        <f>SUM(S237:S238)</f>
        <v>0</v>
      </c>
      <c r="T239" s="24">
        <f>SUM(T237:T238)</f>
        <v>0</v>
      </c>
      <c r="U239" s="24">
        <f>SUM(U237:U238)</f>
        <v>98</v>
      </c>
      <c r="V239" s="26">
        <f>IF(I239-Q239=0,"",IF(D239="",(P239+S239)/(I239-Q239),IF(AND(D239&lt;&gt;"",(P239+S239)/(I239-Q239)&gt;=50%),(P239+S239)/(I239-Q239),"")))</f>
        <v>0.75</v>
      </c>
      <c r="W239" s="26">
        <f>IF(I239=O239,"",IF(V239="",0,(P239+Q239+S239-O239)/(I239-O239)))</f>
        <v>0.7096774193548387</v>
      </c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39" customFormat="1" ht="20.25" customHeight="1">
      <c r="A240" s="32"/>
      <c r="B240" s="115" t="s">
        <v>82</v>
      </c>
      <c r="C240" s="14" t="s">
        <v>2</v>
      </c>
      <c r="D240" s="29"/>
      <c r="E240" s="16" t="s">
        <v>27</v>
      </c>
      <c r="F240" s="15"/>
      <c r="G240" s="15"/>
      <c r="H240" s="15"/>
      <c r="I240" s="17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8"/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23.25" customHeight="1">
      <c r="A241" s="32">
        <v>69</v>
      </c>
      <c r="B241" s="115"/>
      <c r="C241" s="20" t="s">
        <v>187</v>
      </c>
      <c r="D241" s="15"/>
      <c r="E241" s="16"/>
      <c r="F241" s="15">
        <f>17+41+2</f>
        <v>60</v>
      </c>
      <c r="G241" s="15">
        <v>7</v>
      </c>
      <c r="H241" s="15">
        <v>0</v>
      </c>
      <c r="I241" s="17">
        <f>SUM(F241:H241)</f>
        <v>67</v>
      </c>
      <c r="J241" s="15">
        <v>18</v>
      </c>
      <c r="K241" s="15">
        <v>1</v>
      </c>
      <c r="L241" s="15">
        <v>2</v>
      </c>
      <c r="M241" s="15">
        <v>0</v>
      </c>
      <c r="N241" s="15">
        <v>0</v>
      </c>
      <c r="O241" s="15">
        <v>41</v>
      </c>
      <c r="P241" s="15">
        <f>SUM(J241:O241)</f>
        <v>62</v>
      </c>
      <c r="Q241" s="15">
        <v>4</v>
      </c>
      <c r="R241" s="15">
        <v>0</v>
      </c>
      <c r="S241" s="15">
        <v>0</v>
      </c>
      <c r="T241" s="15">
        <v>1</v>
      </c>
      <c r="U241" s="15">
        <v>153</v>
      </c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21" customHeight="1">
      <c r="A242" s="32"/>
      <c r="B242" s="115"/>
      <c r="C242" s="21" t="s">
        <v>12</v>
      </c>
      <c r="D242" s="33"/>
      <c r="E242" s="23"/>
      <c r="F242" s="24">
        <f>SUM(F240:F241)</f>
        <v>60</v>
      </c>
      <c r="G242" s="24">
        <f>SUM(G240:G241)</f>
        <v>7</v>
      </c>
      <c r="H242" s="24">
        <f>SUM(H240:H241)</f>
        <v>0</v>
      </c>
      <c r="I242" s="40">
        <f>SUM(F242:H242)</f>
        <v>67</v>
      </c>
      <c r="J242" s="24">
        <f aca="true" t="shared" si="67" ref="J242:O242">SUM(J240:J241)</f>
        <v>18</v>
      </c>
      <c r="K242" s="24">
        <f t="shared" si="67"/>
        <v>1</v>
      </c>
      <c r="L242" s="24">
        <f t="shared" si="67"/>
        <v>2</v>
      </c>
      <c r="M242" s="24">
        <f t="shared" si="67"/>
        <v>0</v>
      </c>
      <c r="N242" s="24">
        <f t="shared" si="67"/>
        <v>0</v>
      </c>
      <c r="O242" s="24">
        <f t="shared" si="67"/>
        <v>41</v>
      </c>
      <c r="P242" s="24">
        <f>SUM(J242:O242)</f>
        <v>62</v>
      </c>
      <c r="Q242" s="24">
        <f>SUM(Q240:Q241)</f>
        <v>4</v>
      </c>
      <c r="R242" s="24">
        <f>SUM(R240:R241)</f>
        <v>0</v>
      </c>
      <c r="S242" s="24">
        <f>SUM(S240:S241)</f>
        <v>0</v>
      </c>
      <c r="T242" s="24">
        <f>SUM(T240:T241)</f>
        <v>1</v>
      </c>
      <c r="U242" s="24">
        <f>SUM(U240:U241)</f>
        <v>153</v>
      </c>
      <c r="V242" s="26">
        <f>IF(I242-Q242=0,"",IF(D242="",(P242+S242)/(I242-Q242),IF(AND(D242&lt;&gt;"",(P242+S242)/(I242-Q242)&gt;=50%),(P242+S242)/(I242-Q242),"")))</f>
        <v>0.9841269841269841</v>
      </c>
      <c r="W242" s="26">
        <f>IF(I242=O242,"",IF(V242="",0,(P242+Q242+S242-O242)/(I242-O242)))</f>
        <v>0.9615384615384616</v>
      </c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39" customFormat="1" ht="24" customHeight="1">
      <c r="A243" s="32"/>
      <c r="B243" s="115" t="s">
        <v>83</v>
      </c>
      <c r="C243" s="14" t="s">
        <v>161</v>
      </c>
      <c r="D243" s="29"/>
      <c r="E243" s="16" t="s">
        <v>27</v>
      </c>
      <c r="F243" s="15"/>
      <c r="G243" s="15"/>
      <c r="H243" s="15"/>
      <c r="I243" s="17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18" customHeight="1">
      <c r="A244" s="32">
        <v>60</v>
      </c>
      <c r="B244" s="115"/>
      <c r="C244" s="20" t="str">
        <f>IF(A244="","VARA",VLOOKUP(A244,'[1]varas'!$A$4:$B$67,2))</f>
        <v>VT Timbaúba</v>
      </c>
      <c r="D244" s="15"/>
      <c r="E244" s="16"/>
      <c r="F244" s="15">
        <f>83+37+9</f>
        <v>129</v>
      </c>
      <c r="G244" s="15">
        <v>43</v>
      </c>
      <c r="H244" s="15">
        <v>0</v>
      </c>
      <c r="I244" s="17">
        <f>SUM(F244:H244)</f>
        <v>172</v>
      </c>
      <c r="J244" s="15">
        <v>52</v>
      </c>
      <c r="K244" s="15">
        <v>61</v>
      </c>
      <c r="L244" s="15">
        <v>9</v>
      </c>
      <c r="M244" s="15">
        <v>0</v>
      </c>
      <c r="N244" s="15">
        <v>0</v>
      </c>
      <c r="O244" s="15">
        <v>37</v>
      </c>
      <c r="P244" s="15">
        <f>SUM(J244:O244)</f>
        <v>159</v>
      </c>
      <c r="Q244" s="15">
        <v>0</v>
      </c>
      <c r="R244" s="15">
        <v>13</v>
      </c>
      <c r="S244" s="15">
        <v>0</v>
      </c>
      <c r="T244" s="15">
        <v>0</v>
      </c>
      <c r="U244" s="15">
        <v>461</v>
      </c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17.25" customHeight="1">
      <c r="A245" s="32"/>
      <c r="B245" s="115"/>
      <c r="C245" s="21" t="s">
        <v>12</v>
      </c>
      <c r="D245" s="33"/>
      <c r="E245" s="23"/>
      <c r="F245" s="24">
        <f>SUM(F243:F244)</f>
        <v>129</v>
      </c>
      <c r="G245" s="24">
        <f>SUM(G243:G244)</f>
        <v>43</v>
      </c>
      <c r="H245" s="24">
        <f>SUM(H243:H244)</f>
        <v>0</v>
      </c>
      <c r="I245" s="40">
        <f>SUM(F245:H245)</f>
        <v>172</v>
      </c>
      <c r="J245" s="24">
        <f aca="true" t="shared" si="68" ref="J245:O245">SUM(J243:J244)</f>
        <v>52</v>
      </c>
      <c r="K245" s="24">
        <f t="shared" si="68"/>
        <v>61</v>
      </c>
      <c r="L245" s="24">
        <f t="shared" si="68"/>
        <v>9</v>
      </c>
      <c r="M245" s="24">
        <f t="shared" si="68"/>
        <v>0</v>
      </c>
      <c r="N245" s="24">
        <f t="shared" si="68"/>
        <v>0</v>
      </c>
      <c r="O245" s="24">
        <f t="shared" si="68"/>
        <v>37</v>
      </c>
      <c r="P245" s="24">
        <f>SUM(J245:O245)</f>
        <v>159</v>
      </c>
      <c r="Q245" s="24">
        <f>SUM(Q243:Q244)</f>
        <v>0</v>
      </c>
      <c r="R245" s="24">
        <f>SUM(R243:R244)</f>
        <v>13</v>
      </c>
      <c r="S245" s="24">
        <f>SUM(S243:S244)</f>
        <v>0</v>
      </c>
      <c r="T245" s="24">
        <f>SUM(T243:T244)</f>
        <v>0</v>
      </c>
      <c r="U245" s="24">
        <f>SUM(U243:U244)</f>
        <v>461</v>
      </c>
      <c r="V245" s="26">
        <f>IF(I245-Q245=0,"",IF(D245="",(P245+S245)/(I245-Q245),IF(AND(D245&lt;&gt;"",(P245+S245)/(I245-Q245)&gt;=50%),(P245+S245)/(I245-Q245),"")))</f>
        <v>0.9244186046511628</v>
      </c>
      <c r="W245" s="26">
        <f>IF(I245=O245,"",IF(V245="",0,(P245+Q245+S245-O245)/(I245-O245)))</f>
        <v>0.9037037037037037</v>
      </c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1" customHeight="1">
      <c r="A246" s="32"/>
      <c r="B246" s="124" t="s">
        <v>166</v>
      </c>
      <c r="C246" s="14" t="s">
        <v>158</v>
      </c>
      <c r="D246" s="15"/>
      <c r="E246" s="16" t="s">
        <v>27</v>
      </c>
      <c r="F246" s="15"/>
      <c r="G246" s="15"/>
      <c r="H246" s="15"/>
      <c r="I246" s="17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17.25" customHeight="1">
      <c r="A247" s="32">
        <v>8</v>
      </c>
      <c r="B247" s="124"/>
      <c r="C247" s="20" t="str">
        <f>IF(A247="","VARA",VLOOKUP(A247,'[1]varas'!$A$4:$B$67,2))</f>
        <v>8ª VT Recife</v>
      </c>
      <c r="D247" s="15"/>
      <c r="E247" s="16"/>
      <c r="F247" s="15">
        <v>1</v>
      </c>
      <c r="G247" s="15">
        <v>0</v>
      </c>
      <c r="H247" s="15">
        <v>0</v>
      </c>
      <c r="I247" s="17">
        <f>SUM(F247:H247)</f>
        <v>1</v>
      </c>
      <c r="J247" s="15">
        <v>1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f>SUM(J247:O247)</f>
        <v>1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8"/>
      <c r="W247" s="18"/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17.25" customHeight="1">
      <c r="A248" s="32">
        <v>17</v>
      </c>
      <c r="B248" s="124"/>
      <c r="C248" s="20" t="str">
        <f>IF(A248="","VARA",VLOOKUP(A248,'[1]varas'!$A$4:$B$67,2))</f>
        <v>17ª VT Recife</v>
      </c>
      <c r="D248" s="15"/>
      <c r="E248" s="16"/>
      <c r="F248" s="15">
        <f>46+48+13+18</f>
        <v>125</v>
      </c>
      <c r="G248" s="15">
        <v>0</v>
      </c>
      <c r="H248" s="15">
        <v>0</v>
      </c>
      <c r="I248" s="17">
        <f>SUM(F248:H248)</f>
        <v>125</v>
      </c>
      <c r="J248" s="15">
        <v>19</v>
      </c>
      <c r="K248" s="15">
        <v>13</v>
      </c>
      <c r="L248" s="15">
        <v>13</v>
      </c>
      <c r="M248" s="15">
        <v>16</v>
      </c>
      <c r="N248" s="15">
        <v>2</v>
      </c>
      <c r="O248" s="15">
        <v>48</v>
      </c>
      <c r="P248" s="15">
        <f>SUM(J248:O248)</f>
        <v>111</v>
      </c>
      <c r="Q248" s="15">
        <v>14</v>
      </c>
      <c r="R248" s="15">
        <v>0</v>
      </c>
      <c r="S248" s="15">
        <v>0</v>
      </c>
      <c r="T248" s="15">
        <v>0</v>
      </c>
      <c r="U248" s="15">
        <v>218</v>
      </c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18.75" customHeight="1">
      <c r="A249" s="32">
        <v>22</v>
      </c>
      <c r="B249" s="124"/>
      <c r="C249" s="20" t="str">
        <f>IF(A249="","VARA",VLOOKUP(A249,'[1]varas'!$A$4:$B$67,2))</f>
        <v>22ª VT Recife</v>
      </c>
      <c r="D249" s="15"/>
      <c r="E249" s="16"/>
      <c r="F249" s="15">
        <v>0</v>
      </c>
      <c r="G249" s="15">
        <v>0</v>
      </c>
      <c r="H249" s="15">
        <v>1</v>
      </c>
      <c r="I249" s="17">
        <f>SUM(F249:H249)</f>
        <v>1</v>
      </c>
      <c r="J249" s="15">
        <v>1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f>SUM(J249:O249)</f>
        <v>1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53" customFormat="1" ht="17.25" customHeight="1">
      <c r="A250" s="47"/>
      <c r="B250" s="125"/>
      <c r="C250" s="20" t="s">
        <v>12</v>
      </c>
      <c r="D250" s="24"/>
      <c r="E250" s="48"/>
      <c r="F250" s="24">
        <f>SUM(F246:F249)</f>
        <v>126</v>
      </c>
      <c r="G250" s="24">
        <f>SUM(G246:G249)</f>
        <v>0</v>
      </c>
      <c r="H250" s="24">
        <f>SUM(H246:H249)</f>
        <v>1</v>
      </c>
      <c r="I250" s="40">
        <f>SUM(F250:H250)</f>
        <v>127</v>
      </c>
      <c r="J250" s="24">
        <f aca="true" t="shared" si="69" ref="J250:O250">SUM(J246:J249)</f>
        <v>21</v>
      </c>
      <c r="K250" s="24">
        <f t="shared" si="69"/>
        <v>13</v>
      </c>
      <c r="L250" s="24">
        <f t="shared" si="69"/>
        <v>13</v>
      </c>
      <c r="M250" s="24">
        <f t="shared" si="69"/>
        <v>16</v>
      </c>
      <c r="N250" s="24">
        <f t="shared" si="69"/>
        <v>2</v>
      </c>
      <c r="O250" s="24">
        <f t="shared" si="69"/>
        <v>48</v>
      </c>
      <c r="P250" s="24">
        <f>SUM(J250:O250)</f>
        <v>113</v>
      </c>
      <c r="Q250" s="24">
        <f>SUM(Q246:Q249)</f>
        <v>14</v>
      </c>
      <c r="R250" s="24">
        <f>SUM(R246:R249)</f>
        <v>0</v>
      </c>
      <c r="S250" s="24">
        <f>SUM(S246:S249)</f>
        <v>0</v>
      </c>
      <c r="T250" s="24">
        <f>SUM(T246:T249)</f>
        <v>0</v>
      </c>
      <c r="U250" s="24">
        <f>SUM(U246:U249)</f>
        <v>218</v>
      </c>
      <c r="V250" s="26">
        <f>IF(I250-Q250=0,"",IF(D250="",(P250+S250)/(I250-Q250),IF(AND(D250&lt;&gt;"",(P250+S250)/(I250-Q250)&gt;=50%),(P250+S250)/(I250-Q250),"")))</f>
        <v>1</v>
      </c>
      <c r="W250" s="26">
        <f>IF(I250=O250,"",IF(V250="",0,(P250+Q250+S250-O250)/(I250-O250)))</f>
        <v>1</v>
      </c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39" customFormat="1" ht="20.25" customHeight="1">
      <c r="A251" s="32"/>
      <c r="B251" s="122" t="s">
        <v>84</v>
      </c>
      <c r="C251" s="14" t="s">
        <v>161</v>
      </c>
      <c r="D251" s="29" t="s">
        <v>30</v>
      </c>
      <c r="E251" s="16" t="s">
        <v>204</v>
      </c>
      <c r="F251" s="15"/>
      <c r="G251" s="15"/>
      <c r="H251" s="15"/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8"/>
      <c r="X251" s="30"/>
      <c r="Y251" s="30"/>
      <c r="Z251" s="30"/>
      <c r="AA251" s="30"/>
      <c r="AB251" s="34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</row>
    <row r="252" spans="1:41" s="39" customFormat="1" ht="20.25" customHeight="1">
      <c r="A252" s="32">
        <v>31</v>
      </c>
      <c r="B252" s="122"/>
      <c r="C252" s="20" t="str">
        <f>IF(A252="","VARA",VLOOKUP(A252,'[1]varas'!$A$4:$B$67,2))</f>
        <v>1ª VT Igarassu</v>
      </c>
      <c r="D252" s="15"/>
      <c r="E252" s="16"/>
      <c r="F252" s="15">
        <v>0</v>
      </c>
      <c r="G252" s="15">
        <v>0</v>
      </c>
      <c r="H252" s="15">
        <v>0</v>
      </c>
      <c r="I252" s="17">
        <f>SUM(F252:H252)</f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f>SUM(J252:O252)</f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8"/>
      <c r="W252" s="18"/>
      <c r="X252" s="30"/>
      <c r="Y252" s="30"/>
      <c r="Z252" s="30"/>
      <c r="AA252" s="30"/>
      <c r="AB252" s="34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</row>
    <row r="253" spans="1:41" s="39" customFormat="1" ht="17.25" customHeight="1">
      <c r="A253" s="32">
        <v>67</v>
      </c>
      <c r="B253" s="115"/>
      <c r="C253" s="20" t="s">
        <v>174</v>
      </c>
      <c r="D253" s="15"/>
      <c r="E253" s="16"/>
      <c r="F253" s="15">
        <v>0</v>
      </c>
      <c r="G253" s="15">
        <v>0</v>
      </c>
      <c r="H253" s="15">
        <v>0</v>
      </c>
      <c r="I253" s="17">
        <f>SUM(F253:H253)</f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f>SUM(J253:O253)</f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8"/>
      <c r="W253" s="18"/>
      <c r="X253" s="30"/>
      <c r="Y253" s="30"/>
      <c r="Z253" s="30"/>
      <c r="AA253" s="30"/>
      <c r="AB253" s="34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</row>
    <row r="254" spans="1:41" s="39" customFormat="1" ht="15.75" customHeight="1">
      <c r="A254" s="32"/>
      <c r="B254" s="115"/>
      <c r="C254" s="21" t="s">
        <v>12</v>
      </c>
      <c r="D254" s="33"/>
      <c r="E254" s="23"/>
      <c r="F254" s="24">
        <f>SUM(F251:F253)</f>
        <v>0</v>
      </c>
      <c r="G254" s="24">
        <f>SUM(G251:G253)</f>
        <v>0</v>
      </c>
      <c r="H254" s="24">
        <f>SUM(H251:H253)</f>
        <v>0</v>
      </c>
      <c r="I254" s="40">
        <f>SUM(F254:H254)</f>
        <v>0</v>
      </c>
      <c r="J254" s="24">
        <f aca="true" t="shared" si="70" ref="J254:O254">SUM(J251:J253)</f>
        <v>0</v>
      </c>
      <c r="K254" s="24">
        <f t="shared" si="70"/>
        <v>0</v>
      </c>
      <c r="L254" s="24">
        <f t="shared" si="70"/>
        <v>0</v>
      </c>
      <c r="M254" s="24">
        <f t="shared" si="70"/>
        <v>0</v>
      </c>
      <c r="N254" s="24">
        <f t="shared" si="70"/>
        <v>0</v>
      </c>
      <c r="O254" s="24">
        <f t="shared" si="70"/>
        <v>0</v>
      </c>
      <c r="P254" s="24">
        <f>SUM(J254:O254)</f>
        <v>0</v>
      </c>
      <c r="Q254" s="24">
        <f>SUM(Q251:Q253)</f>
        <v>0</v>
      </c>
      <c r="R254" s="24">
        <f>SUM(R251:R253)</f>
        <v>0</v>
      </c>
      <c r="S254" s="24">
        <f>SUM(S251:S253)</f>
        <v>0</v>
      </c>
      <c r="T254" s="24">
        <f>SUM(T251:T253)</f>
        <v>0</v>
      </c>
      <c r="U254" s="24">
        <f>SUM(U251:U253)</f>
        <v>0</v>
      </c>
      <c r="V254" s="26">
        <f>IF(I254-Q254=0,"",IF(D254="",(P254+S254)/(I254-Q254),IF(AND(D254&lt;&gt;"",(P254+S254)/(I254-Q254)&gt;=50%),(P254+S254)/(I254-Q254),"")))</f>
      </c>
      <c r="W254" s="26">
        <f>IF(I254=O254,"",IF(V254="",0,(P254+Q254+S254-O254)/(I254-O254)))</f>
      </c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19.5" customHeight="1">
      <c r="A255" s="32"/>
      <c r="B255" s="115" t="s">
        <v>85</v>
      </c>
      <c r="C255" s="14" t="s">
        <v>2</v>
      </c>
      <c r="D255" s="29" t="s">
        <v>43</v>
      </c>
      <c r="E255" s="16" t="s">
        <v>223</v>
      </c>
      <c r="F255" s="15"/>
      <c r="G255" s="15"/>
      <c r="H255" s="15"/>
      <c r="I255" s="17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18.75" customHeight="1">
      <c r="A256" s="32">
        <v>13</v>
      </c>
      <c r="B256" s="115"/>
      <c r="C256" s="20" t="str">
        <f>IF(A256="","VARA",VLOOKUP(A256,'[1]varas'!$A$4:$B$67,2))</f>
        <v>13ª VT Recife</v>
      </c>
      <c r="D256" s="15"/>
      <c r="E256" s="16"/>
      <c r="F256" s="15">
        <f>46+38+11+3</f>
        <v>98</v>
      </c>
      <c r="G256" s="15">
        <v>13</v>
      </c>
      <c r="H256" s="15">
        <v>42</v>
      </c>
      <c r="I256" s="17">
        <f>SUM(F256:H256)</f>
        <v>153</v>
      </c>
      <c r="J256" s="15">
        <v>26</v>
      </c>
      <c r="K256" s="15">
        <v>7</v>
      </c>
      <c r="L256" s="15">
        <v>11</v>
      </c>
      <c r="M256" s="15">
        <v>3</v>
      </c>
      <c r="N256" s="15">
        <v>0</v>
      </c>
      <c r="O256" s="15">
        <v>38</v>
      </c>
      <c r="P256" s="15">
        <f>SUM(J256:O256)</f>
        <v>85</v>
      </c>
      <c r="Q256" s="15">
        <v>12</v>
      </c>
      <c r="R256" s="15">
        <v>55</v>
      </c>
      <c r="S256" s="15">
        <v>0</v>
      </c>
      <c r="T256" s="15">
        <v>1</v>
      </c>
      <c r="U256" s="15">
        <v>160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53" customFormat="1" ht="16.5" customHeight="1">
      <c r="A257" s="47"/>
      <c r="B257" s="115"/>
      <c r="C257" s="21" t="s">
        <v>12</v>
      </c>
      <c r="D257" s="51"/>
      <c r="E257" s="52"/>
      <c r="F257" s="24">
        <f>SUM(F255:F256)</f>
        <v>98</v>
      </c>
      <c r="G257" s="24">
        <f>SUM(G255:G256)</f>
        <v>13</v>
      </c>
      <c r="H257" s="24">
        <f>SUM(H255:H256)</f>
        <v>42</v>
      </c>
      <c r="I257" s="25">
        <f>SUM(F257:H257)</f>
        <v>153</v>
      </c>
      <c r="J257" s="24">
        <f aca="true" t="shared" si="71" ref="J257:O257">SUM(J255:J256)</f>
        <v>26</v>
      </c>
      <c r="K257" s="24">
        <f t="shared" si="71"/>
        <v>7</v>
      </c>
      <c r="L257" s="24">
        <f t="shared" si="71"/>
        <v>11</v>
      </c>
      <c r="M257" s="24">
        <f t="shared" si="71"/>
        <v>3</v>
      </c>
      <c r="N257" s="24">
        <f t="shared" si="71"/>
        <v>0</v>
      </c>
      <c r="O257" s="24">
        <f t="shared" si="71"/>
        <v>38</v>
      </c>
      <c r="P257" s="24">
        <f>SUM(J257:O257)</f>
        <v>85</v>
      </c>
      <c r="Q257" s="24">
        <f>SUM(Q255:Q256)</f>
        <v>12</v>
      </c>
      <c r="R257" s="24">
        <f>SUM(R255:R256)</f>
        <v>55</v>
      </c>
      <c r="S257" s="24">
        <f>SUM(S255:S256)</f>
        <v>0</v>
      </c>
      <c r="T257" s="24">
        <f>SUM(T255:T256)</f>
        <v>1</v>
      </c>
      <c r="U257" s="24">
        <f>SUM(U255:U256)</f>
        <v>160</v>
      </c>
      <c r="V257" s="26">
        <f>IF(I257-Q257=0,"",IF(D257="",(P257+S257)/(I257-Q257),IF(AND(D257&lt;&gt;"",(P257+S257)/(I257-Q257)&gt;=50%),(P257+S257)/(I257-Q257),"")))</f>
        <v>0.6028368794326241</v>
      </c>
      <c r="W257" s="26">
        <f>IF(I257=O257,"",IF(V257="",0,(P257+Q257+S257-O257)/(I257-O257)))</f>
        <v>0.5130434782608696</v>
      </c>
      <c r="X257" s="49"/>
      <c r="Y257" s="49"/>
      <c r="Z257" s="49"/>
      <c r="AA257" s="49"/>
      <c r="AB257" s="50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</row>
    <row r="258" spans="1:41" s="53" customFormat="1" ht="21" customHeight="1">
      <c r="A258" s="47"/>
      <c r="B258" s="115" t="s">
        <v>86</v>
      </c>
      <c r="C258" s="14" t="s">
        <v>158</v>
      </c>
      <c r="D258" s="29" t="s">
        <v>175</v>
      </c>
      <c r="E258" s="16" t="s">
        <v>182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49"/>
      <c r="Y258" s="49"/>
      <c r="Z258" s="49"/>
      <c r="AA258" s="49"/>
      <c r="AB258" s="50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</row>
    <row r="259" spans="1:41" s="53" customFormat="1" ht="16.5" customHeight="1">
      <c r="A259" s="47">
        <v>35</v>
      </c>
      <c r="B259" s="115"/>
      <c r="C259" s="20" t="str">
        <f>IF(A259="","VARA",VLOOKUP(A259,'[1]varas'!$A$4:$B$67,2))</f>
        <v>2ª VT Jaboatão</v>
      </c>
      <c r="D259" s="15"/>
      <c r="E259" s="16"/>
      <c r="F259" s="15">
        <v>0</v>
      </c>
      <c r="G259" s="15">
        <v>0</v>
      </c>
      <c r="H259" s="15">
        <v>12</v>
      </c>
      <c r="I259" s="17">
        <f>SUM(F259:H259)</f>
        <v>12</v>
      </c>
      <c r="J259" s="15">
        <v>4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f>SUM(J259:O259)</f>
        <v>4</v>
      </c>
      <c r="Q259" s="15">
        <v>0</v>
      </c>
      <c r="R259" s="15">
        <v>8</v>
      </c>
      <c r="S259" s="15">
        <v>0</v>
      </c>
      <c r="T259" s="15">
        <v>0</v>
      </c>
      <c r="U259" s="15">
        <v>0</v>
      </c>
      <c r="V259" s="18"/>
      <c r="W259" s="18"/>
      <c r="X259" s="49"/>
      <c r="Y259" s="49"/>
      <c r="Z259" s="49"/>
      <c r="AA259" s="49"/>
      <c r="AB259" s="50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</row>
    <row r="260" spans="1:41" s="53" customFormat="1" ht="19.5" customHeight="1">
      <c r="A260" s="47"/>
      <c r="B260" s="115"/>
      <c r="C260" s="21" t="s">
        <v>12</v>
      </c>
      <c r="D260" s="33"/>
      <c r="E260" s="23"/>
      <c r="F260" s="24">
        <f>SUM(F258:F259)</f>
        <v>0</v>
      </c>
      <c r="G260" s="24">
        <f>SUM(G258:G259)</f>
        <v>0</v>
      </c>
      <c r="H260" s="24">
        <f>SUM(H258:H259)</f>
        <v>12</v>
      </c>
      <c r="I260" s="40">
        <f>SUM(F260:H260)</f>
        <v>12</v>
      </c>
      <c r="J260" s="24">
        <f aca="true" t="shared" si="72" ref="J260:O260">SUM(J258:J259)</f>
        <v>4</v>
      </c>
      <c r="K260" s="24">
        <f t="shared" si="72"/>
        <v>0</v>
      </c>
      <c r="L260" s="24">
        <f t="shared" si="72"/>
        <v>0</v>
      </c>
      <c r="M260" s="24">
        <f t="shared" si="72"/>
        <v>0</v>
      </c>
      <c r="N260" s="24">
        <f t="shared" si="72"/>
        <v>0</v>
      </c>
      <c r="O260" s="24">
        <f t="shared" si="72"/>
        <v>0</v>
      </c>
      <c r="P260" s="24">
        <f>SUM(J260:O260)</f>
        <v>4</v>
      </c>
      <c r="Q260" s="24">
        <f>SUM(Q258:Q259)</f>
        <v>0</v>
      </c>
      <c r="R260" s="24">
        <f>SUM(R258:R259)</f>
        <v>8</v>
      </c>
      <c r="S260" s="24">
        <f>SUM(S258:S259)</f>
        <v>0</v>
      </c>
      <c r="T260" s="24">
        <f>SUM(T258:T259)</f>
        <v>0</v>
      </c>
      <c r="U260" s="24">
        <f>SUM(U258:U259)</f>
        <v>0</v>
      </c>
      <c r="V260" s="26">
        <f>IF(I260-Q260=0,"",IF(D260="",(P260+S260)/(I260-Q260),IF(AND(D260&lt;&gt;"",(P260+S260)/(I260-Q260)&gt;=50%),(P260+S260)/(I260-Q260),"")))</f>
        <v>0.3333333333333333</v>
      </c>
      <c r="W260" s="26">
        <f>IF(I260=O260,"",IF(V260="",0,(P260+Q260+S260-O260)/(I260-O260)))</f>
        <v>0.3333333333333333</v>
      </c>
      <c r="X260" s="49"/>
      <c r="Y260" s="49"/>
      <c r="Z260" s="49"/>
      <c r="AA260" s="49"/>
      <c r="AB260" s="50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</row>
    <row r="261" spans="1:41" s="39" customFormat="1" ht="21.75" customHeight="1">
      <c r="A261" s="32"/>
      <c r="B261" s="115" t="s">
        <v>177</v>
      </c>
      <c r="C261" s="14" t="s">
        <v>183</v>
      </c>
      <c r="D261" s="29"/>
      <c r="E261" s="16" t="s">
        <v>27</v>
      </c>
      <c r="F261" s="15"/>
      <c r="G261" s="15"/>
      <c r="H261" s="15"/>
      <c r="I261" s="17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39" customFormat="1" ht="21.75" customHeight="1">
      <c r="A262" s="32">
        <v>2</v>
      </c>
      <c r="B262" s="115"/>
      <c r="C262" s="20" t="str">
        <f>IF(A262="","VARA",VLOOKUP(A262,'[1]varas'!$A$4:$B$67,2))</f>
        <v>2ª VT Recife</v>
      </c>
      <c r="D262" s="15"/>
      <c r="E262" s="16"/>
      <c r="F262" s="15">
        <v>0</v>
      </c>
      <c r="G262" s="15">
        <v>5</v>
      </c>
      <c r="H262" s="15">
        <v>0</v>
      </c>
      <c r="I262" s="17">
        <f aca="true" t="shared" si="73" ref="I262:I267">SUM(F262:H262)</f>
        <v>5</v>
      </c>
      <c r="J262" s="15">
        <v>5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f aca="true" t="shared" si="74" ref="P262:P267">SUM(J262:O262)</f>
        <v>5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39" customFormat="1" ht="21.75" customHeight="1">
      <c r="A263" s="32">
        <v>6</v>
      </c>
      <c r="B263" s="115"/>
      <c r="C263" s="20" t="str">
        <f>IF(A263="","VARA",VLOOKUP(A263,'[1]varas'!$A$4:$B$67,2))</f>
        <v>6ª VT Recife</v>
      </c>
      <c r="D263" s="15"/>
      <c r="E263" s="16"/>
      <c r="F263" s="15">
        <f>55+35+9+3</f>
        <v>102</v>
      </c>
      <c r="G263" s="15">
        <v>14</v>
      </c>
      <c r="H263" s="15">
        <v>0</v>
      </c>
      <c r="I263" s="17">
        <f t="shared" si="73"/>
        <v>116</v>
      </c>
      <c r="J263" s="15">
        <v>37</v>
      </c>
      <c r="K263" s="15">
        <v>13</v>
      </c>
      <c r="L263" s="15">
        <v>9</v>
      </c>
      <c r="M263" s="15">
        <v>3</v>
      </c>
      <c r="N263" s="15">
        <v>0</v>
      </c>
      <c r="O263" s="15">
        <v>35</v>
      </c>
      <c r="P263" s="15">
        <f t="shared" si="74"/>
        <v>97</v>
      </c>
      <c r="Q263" s="15">
        <v>19</v>
      </c>
      <c r="R263" s="15">
        <v>0</v>
      </c>
      <c r="S263" s="15">
        <v>0</v>
      </c>
      <c r="T263" s="15">
        <v>0</v>
      </c>
      <c r="U263" s="15">
        <v>219</v>
      </c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39" customFormat="1" ht="21.75" customHeight="1">
      <c r="A264" s="32">
        <v>38</v>
      </c>
      <c r="B264" s="115"/>
      <c r="C264" s="20" t="str">
        <f>IF(A264="","VARA",VLOOKUP(A264,'[1]varas'!$A$4:$B$67,2))</f>
        <v>1ª VT Olinda</v>
      </c>
      <c r="D264" s="15"/>
      <c r="E264" s="16"/>
      <c r="F264" s="15">
        <v>11</v>
      </c>
      <c r="G264" s="15">
        <v>0</v>
      </c>
      <c r="H264" s="15">
        <v>0</v>
      </c>
      <c r="I264" s="17">
        <f t="shared" si="73"/>
        <v>11</v>
      </c>
      <c r="J264" s="15">
        <v>3</v>
      </c>
      <c r="K264" s="15">
        <v>0</v>
      </c>
      <c r="L264" s="15">
        <v>0</v>
      </c>
      <c r="M264" s="15">
        <v>1</v>
      </c>
      <c r="N264" s="15">
        <v>0</v>
      </c>
      <c r="O264" s="15">
        <v>7</v>
      </c>
      <c r="P264" s="15">
        <f t="shared" si="74"/>
        <v>11</v>
      </c>
      <c r="Q264" s="15">
        <v>0</v>
      </c>
      <c r="R264" s="15">
        <v>0</v>
      </c>
      <c r="S264" s="15">
        <v>0</v>
      </c>
      <c r="T264" s="15">
        <v>0</v>
      </c>
      <c r="U264" s="15">
        <v>19</v>
      </c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39" customFormat="1" ht="21.75" customHeight="1">
      <c r="A265" s="32">
        <v>37</v>
      </c>
      <c r="B265" s="115"/>
      <c r="C265" s="20" t="str">
        <f>IF(A265="","VARA",VLOOKUP(A265,'[1]varas'!$A$4:$B$67,2))</f>
        <v>4ª VT Jaboatão</v>
      </c>
      <c r="D265" s="15"/>
      <c r="E265" s="16"/>
      <c r="F265" s="15">
        <v>6</v>
      </c>
      <c r="G265" s="15">
        <v>0</v>
      </c>
      <c r="H265" s="15">
        <v>0</v>
      </c>
      <c r="I265" s="17">
        <f t="shared" si="73"/>
        <v>6</v>
      </c>
      <c r="J265" s="15">
        <v>0</v>
      </c>
      <c r="K265" s="15">
        <v>1</v>
      </c>
      <c r="L265" s="15">
        <v>0</v>
      </c>
      <c r="M265" s="15">
        <v>0</v>
      </c>
      <c r="N265" s="15">
        <v>0</v>
      </c>
      <c r="O265" s="15">
        <v>4</v>
      </c>
      <c r="P265" s="15">
        <f t="shared" si="74"/>
        <v>5</v>
      </c>
      <c r="Q265" s="15">
        <v>0</v>
      </c>
      <c r="R265" s="15">
        <v>0</v>
      </c>
      <c r="S265" s="15">
        <v>0</v>
      </c>
      <c r="T265" s="15">
        <v>1</v>
      </c>
      <c r="U265" s="15">
        <v>12</v>
      </c>
      <c r="V265" s="18"/>
      <c r="W265" s="18"/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39" customFormat="1" ht="21.75" customHeight="1">
      <c r="A266" s="32">
        <v>51</v>
      </c>
      <c r="B266" s="115"/>
      <c r="C266" s="20" t="str">
        <f>IF(A266="","VARA",VLOOKUP(A266,'[1]varas'!$A$4:$B$67,2))</f>
        <v>VT Goiana</v>
      </c>
      <c r="D266" s="15"/>
      <c r="E266" s="16"/>
      <c r="F266" s="15">
        <v>17</v>
      </c>
      <c r="G266" s="15">
        <v>0</v>
      </c>
      <c r="H266" s="15">
        <v>0</v>
      </c>
      <c r="I266" s="17">
        <f t="shared" si="73"/>
        <v>17</v>
      </c>
      <c r="J266" s="15">
        <v>10</v>
      </c>
      <c r="K266" s="15">
        <v>1</v>
      </c>
      <c r="L266" s="15">
        <v>0</v>
      </c>
      <c r="M266" s="15">
        <v>0</v>
      </c>
      <c r="N266" s="15">
        <v>0</v>
      </c>
      <c r="O266" s="15">
        <v>6</v>
      </c>
      <c r="P266" s="15">
        <f t="shared" si="74"/>
        <v>17</v>
      </c>
      <c r="Q266" s="15">
        <v>0</v>
      </c>
      <c r="R266" s="15">
        <v>0</v>
      </c>
      <c r="S266" s="15">
        <v>0</v>
      </c>
      <c r="T266" s="15">
        <v>0</v>
      </c>
      <c r="U266" s="15">
        <v>23</v>
      </c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20.25" customHeight="1">
      <c r="A267" s="32"/>
      <c r="B267" s="115"/>
      <c r="C267" s="21" t="s">
        <v>12</v>
      </c>
      <c r="D267" s="33"/>
      <c r="E267" s="23"/>
      <c r="F267" s="24">
        <f>SUM(F261:F266)</f>
        <v>136</v>
      </c>
      <c r="G267" s="24">
        <f>SUM(G261:G266)</f>
        <v>19</v>
      </c>
      <c r="H267" s="24">
        <f>SUM(H261:H266)</f>
        <v>0</v>
      </c>
      <c r="I267" s="40">
        <f t="shared" si="73"/>
        <v>155</v>
      </c>
      <c r="J267" s="24">
        <f aca="true" t="shared" si="75" ref="J267:O267">SUM(J261:J266)</f>
        <v>55</v>
      </c>
      <c r="K267" s="24">
        <f t="shared" si="75"/>
        <v>15</v>
      </c>
      <c r="L267" s="24">
        <f t="shared" si="75"/>
        <v>9</v>
      </c>
      <c r="M267" s="24">
        <f t="shared" si="75"/>
        <v>4</v>
      </c>
      <c r="N267" s="24">
        <f t="shared" si="75"/>
        <v>0</v>
      </c>
      <c r="O267" s="24">
        <f t="shared" si="75"/>
        <v>52</v>
      </c>
      <c r="P267" s="24">
        <f t="shared" si="74"/>
        <v>135</v>
      </c>
      <c r="Q267" s="24">
        <f>SUM(Q261:Q266)</f>
        <v>19</v>
      </c>
      <c r="R267" s="24">
        <f>SUM(R261:R266)</f>
        <v>0</v>
      </c>
      <c r="S267" s="24">
        <f>SUM(S261:S266)</f>
        <v>0</v>
      </c>
      <c r="T267" s="24">
        <f>SUM(T261:T266)</f>
        <v>1</v>
      </c>
      <c r="U267" s="24">
        <f>SUM(U261:U266)</f>
        <v>273</v>
      </c>
      <c r="V267" s="26">
        <f>IF(I267-Q267=0,"",IF(D267="",(P267+S267)/(I267-Q267),IF(AND(D267&lt;&gt;"",(P267+S267)/(I267-Q267)&gt;=50%),(P267+S267)/(I267-Q267),"")))</f>
        <v>0.9926470588235294</v>
      </c>
      <c r="W267" s="26">
        <f>IF(I267=O267,"",IF(V267="",0,(P267+Q267+S267-O267)/(I267-O267)))</f>
        <v>0.9902912621359223</v>
      </c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23.25" customHeight="1">
      <c r="A268" s="32"/>
      <c r="B268" s="115" t="s">
        <v>87</v>
      </c>
      <c r="C268" s="14" t="s">
        <v>2</v>
      </c>
      <c r="D268" s="29"/>
      <c r="E268" s="16" t="s">
        <v>27</v>
      </c>
      <c r="F268" s="15"/>
      <c r="G268" s="15"/>
      <c r="H268" s="15"/>
      <c r="I268" s="17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8"/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39" customFormat="1" ht="23.25" customHeight="1">
      <c r="A269" s="32">
        <v>2</v>
      </c>
      <c r="B269" s="115"/>
      <c r="C269" s="20" t="str">
        <f>IF(A269="","VARA",VLOOKUP(A269,'[1]varas'!$A$4:$B$67,2))</f>
        <v>2ª VT Recife</v>
      </c>
      <c r="D269" s="15"/>
      <c r="E269" s="16"/>
      <c r="F269" s="15">
        <v>1</v>
      </c>
      <c r="G269" s="15">
        <v>2</v>
      </c>
      <c r="H269" s="15">
        <v>0</v>
      </c>
      <c r="I269" s="17">
        <f>SUM(F269:H269)</f>
        <v>3</v>
      </c>
      <c r="J269" s="15">
        <v>2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f>SUM(J269:O269)</f>
        <v>2</v>
      </c>
      <c r="Q269" s="15">
        <v>1</v>
      </c>
      <c r="R269" s="15">
        <v>0</v>
      </c>
      <c r="S269" s="15">
        <v>0</v>
      </c>
      <c r="T269" s="15">
        <v>0</v>
      </c>
      <c r="U269" s="15">
        <v>0</v>
      </c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18.75" customHeight="1">
      <c r="A270" s="32">
        <v>28</v>
      </c>
      <c r="B270" s="115"/>
      <c r="C270" s="20" t="str">
        <f>IF(A270="","VARA",VLOOKUP(A270,'[1]varas'!$A$4:$B$67,2))</f>
        <v>1ª VT Caruaru</v>
      </c>
      <c r="D270" s="15"/>
      <c r="E270" s="16"/>
      <c r="F270" s="15">
        <v>20</v>
      </c>
      <c r="G270" s="15">
        <v>0</v>
      </c>
      <c r="H270" s="15">
        <v>0</v>
      </c>
      <c r="I270" s="17">
        <f>SUM(F270:H270)</f>
        <v>20</v>
      </c>
      <c r="J270" s="15">
        <v>13</v>
      </c>
      <c r="K270" s="15">
        <v>0</v>
      </c>
      <c r="L270" s="15">
        <v>0</v>
      </c>
      <c r="M270" s="15">
        <v>0</v>
      </c>
      <c r="N270" s="15">
        <v>0</v>
      </c>
      <c r="O270" s="15">
        <v>6</v>
      </c>
      <c r="P270" s="15">
        <f>SUM(J270:O270)</f>
        <v>19</v>
      </c>
      <c r="Q270" s="15">
        <v>0</v>
      </c>
      <c r="R270" s="15">
        <v>1</v>
      </c>
      <c r="S270" s="15">
        <v>0</v>
      </c>
      <c r="T270" s="15">
        <v>0</v>
      </c>
      <c r="U270" s="15">
        <v>25</v>
      </c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39" customFormat="1" ht="20.25" customHeight="1">
      <c r="A271" s="32">
        <v>29</v>
      </c>
      <c r="B271" s="115"/>
      <c r="C271" s="20" t="str">
        <f>IF(A271="","VARA",VLOOKUP(A271,'[1]varas'!$A$4:$B$67,2))</f>
        <v>2ª VT Caruaru</v>
      </c>
      <c r="D271" s="15"/>
      <c r="E271" s="16"/>
      <c r="F271" s="15">
        <f>16+58+0</f>
        <v>74</v>
      </c>
      <c r="G271" s="15">
        <v>2</v>
      </c>
      <c r="H271" s="15">
        <v>1</v>
      </c>
      <c r="I271" s="17">
        <f>SUM(F271:H271)</f>
        <v>77</v>
      </c>
      <c r="J271" s="15">
        <v>12</v>
      </c>
      <c r="K271" s="15">
        <v>4</v>
      </c>
      <c r="L271" s="15">
        <v>3</v>
      </c>
      <c r="M271" s="15">
        <v>0</v>
      </c>
      <c r="N271" s="15">
        <v>0</v>
      </c>
      <c r="O271" s="15">
        <v>58</v>
      </c>
      <c r="P271" s="15">
        <f>SUM(J271:O271)</f>
        <v>77</v>
      </c>
      <c r="Q271" s="15">
        <v>0</v>
      </c>
      <c r="R271" s="15">
        <v>0</v>
      </c>
      <c r="S271" s="15">
        <v>0</v>
      </c>
      <c r="T271" s="15">
        <v>0</v>
      </c>
      <c r="U271" s="15">
        <v>59</v>
      </c>
      <c r="V271" s="18"/>
      <c r="W271" s="18"/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39" customFormat="1" ht="18.75" customHeight="1">
      <c r="A272" s="32">
        <v>30</v>
      </c>
      <c r="B272" s="115"/>
      <c r="C272" s="20" t="str">
        <f>IF(A272="","VARA",VLOOKUP(A272,'[1]varas'!$A$4:$B$67,2))</f>
        <v>3ª VT Caruaru</v>
      </c>
      <c r="D272" s="15"/>
      <c r="E272" s="16"/>
      <c r="F272" s="15">
        <f>18+33+4</f>
        <v>55</v>
      </c>
      <c r="G272" s="15">
        <v>0</v>
      </c>
      <c r="H272" s="15">
        <v>0</v>
      </c>
      <c r="I272" s="17">
        <f>SUM(F272:H272)</f>
        <v>55</v>
      </c>
      <c r="J272" s="15">
        <v>11</v>
      </c>
      <c r="K272" s="15">
        <v>1</v>
      </c>
      <c r="L272" s="15">
        <v>3</v>
      </c>
      <c r="M272" s="15">
        <v>1</v>
      </c>
      <c r="N272" s="15">
        <v>0</v>
      </c>
      <c r="O272" s="15">
        <v>33</v>
      </c>
      <c r="P272" s="15">
        <f>SUM(J272:O272)</f>
        <v>49</v>
      </c>
      <c r="Q272" s="15">
        <v>6</v>
      </c>
      <c r="R272" s="15">
        <v>0</v>
      </c>
      <c r="S272" s="15">
        <v>0</v>
      </c>
      <c r="T272" s="15">
        <v>0</v>
      </c>
      <c r="U272" s="15">
        <v>138</v>
      </c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53" customFormat="1" ht="15.75" customHeight="1">
      <c r="A273" s="47"/>
      <c r="B273" s="115"/>
      <c r="C273" s="20" t="s">
        <v>12</v>
      </c>
      <c r="D273" s="24"/>
      <c r="E273" s="48"/>
      <c r="F273" s="24">
        <f>SUM(F268:F272)</f>
        <v>150</v>
      </c>
      <c r="G273" s="24">
        <f>SUM(G268:G272)</f>
        <v>4</v>
      </c>
      <c r="H273" s="24">
        <f>SUM(H268:H272)</f>
        <v>1</v>
      </c>
      <c r="I273" s="40">
        <f>SUM(F273:H273)</f>
        <v>155</v>
      </c>
      <c r="J273" s="24">
        <f aca="true" t="shared" si="76" ref="J273:O273">SUM(J268:J272)</f>
        <v>38</v>
      </c>
      <c r="K273" s="24">
        <f t="shared" si="76"/>
        <v>5</v>
      </c>
      <c r="L273" s="24">
        <f t="shared" si="76"/>
        <v>6</v>
      </c>
      <c r="M273" s="24">
        <f t="shared" si="76"/>
        <v>1</v>
      </c>
      <c r="N273" s="24">
        <f t="shared" si="76"/>
        <v>0</v>
      </c>
      <c r="O273" s="24">
        <f t="shared" si="76"/>
        <v>97</v>
      </c>
      <c r="P273" s="24">
        <f>SUM(J273:O273)</f>
        <v>147</v>
      </c>
      <c r="Q273" s="24">
        <f>SUM(Q268:Q272)</f>
        <v>7</v>
      </c>
      <c r="R273" s="24">
        <f>SUM(R268:R272)</f>
        <v>1</v>
      </c>
      <c r="S273" s="24">
        <f>SUM(S268:S272)</f>
        <v>0</v>
      </c>
      <c r="T273" s="24">
        <f>SUM(T268:T272)</f>
        <v>0</v>
      </c>
      <c r="U273" s="24">
        <f>SUM(U268:U272)</f>
        <v>222</v>
      </c>
      <c r="V273" s="26">
        <f>IF(I273-Q273=0,"",IF(D273="",(P273+S273)/(I273-Q273),IF(AND(D273&lt;&gt;"",(P273+S273)/(I273-Q273)&gt;=50%),(P273+S273)/(I273-Q273),"")))</f>
        <v>0.9932432432432432</v>
      </c>
      <c r="W273" s="26">
        <f>IF(I273=O273,"",IF(V273="",0,(P273+Q273+S273-O273)/(I273-O273)))</f>
        <v>0.9827586206896551</v>
      </c>
      <c r="X273" s="49"/>
      <c r="Y273" s="49"/>
      <c r="Z273" s="49"/>
      <c r="AA273" s="49"/>
      <c r="AB273" s="50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</row>
    <row r="274" spans="1:41" s="39" customFormat="1" ht="21.75" customHeight="1">
      <c r="A274" s="32"/>
      <c r="B274" s="115" t="s">
        <v>88</v>
      </c>
      <c r="C274" s="14" t="s">
        <v>161</v>
      </c>
      <c r="D274" s="29"/>
      <c r="E274" s="16" t="s">
        <v>27</v>
      </c>
      <c r="F274" s="15"/>
      <c r="G274" s="15"/>
      <c r="H274" s="15"/>
      <c r="I274" s="17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8"/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39" customFormat="1" ht="18" customHeight="1">
      <c r="A275" s="32">
        <v>61</v>
      </c>
      <c r="B275" s="115"/>
      <c r="C275" s="20" t="str">
        <f>IF(A275="","VARA",VLOOKUP(A275,'[1]varas'!$A$4:$B$67,2))</f>
        <v>VT Vitória</v>
      </c>
      <c r="D275" s="15"/>
      <c r="E275" s="16"/>
      <c r="F275" s="15">
        <f>44+68+13+11</f>
        <v>136</v>
      </c>
      <c r="G275" s="15">
        <v>12</v>
      </c>
      <c r="H275" s="15">
        <v>0</v>
      </c>
      <c r="I275" s="17">
        <f>SUM(F275:H275)</f>
        <v>148</v>
      </c>
      <c r="J275" s="15">
        <v>37</v>
      </c>
      <c r="K275" s="15">
        <v>7</v>
      </c>
      <c r="L275" s="15">
        <v>13</v>
      </c>
      <c r="M275" s="15">
        <v>11</v>
      </c>
      <c r="N275" s="15">
        <v>0</v>
      </c>
      <c r="O275" s="15">
        <v>68</v>
      </c>
      <c r="P275" s="15">
        <f>SUM(J275:O275)</f>
        <v>136</v>
      </c>
      <c r="Q275" s="15">
        <v>11</v>
      </c>
      <c r="R275" s="15">
        <v>1</v>
      </c>
      <c r="S275" s="15">
        <v>0</v>
      </c>
      <c r="T275" s="15">
        <v>0</v>
      </c>
      <c r="U275" s="15">
        <v>205</v>
      </c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53" customFormat="1" ht="16.5" customHeight="1">
      <c r="A276" s="47"/>
      <c r="B276" s="115"/>
      <c r="C276" s="20" t="s">
        <v>12</v>
      </c>
      <c r="D276" s="24"/>
      <c r="E276" s="48"/>
      <c r="F276" s="24">
        <f>SUM(F274:F275)</f>
        <v>136</v>
      </c>
      <c r="G276" s="24">
        <f>SUM(G274:G275)</f>
        <v>12</v>
      </c>
      <c r="H276" s="24">
        <f>SUM(H274:H275)</f>
        <v>0</v>
      </c>
      <c r="I276" s="40">
        <f>SUM(F276:H276)</f>
        <v>148</v>
      </c>
      <c r="J276" s="24">
        <f aca="true" t="shared" si="77" ref="J276:O276">SUM(J274:J275)</f>
        <v>37</v>
      </c>
      <c r="K276" s="24">
        <f t="shared" si="77"/>
        <v>7</v>
      </c>
      <c r="L276" s="24">
        <f t="shared" si="77"/>
        <v>13</v>
      </c>
      <c r="M276" s="24">
        <f t="shared" si="77"/>
        <v>11</v>
      </c>
      <c r="N276" s="24">
        <f t="shared" si="77"/>
        <v>0</v>
      </c>
      <c r="O276" s="24">
        <f t="shared" si="77"/>
        <v>68</v>
      </c>
      <c r="P276" s="24">
        <f>SUM(J276:O276)</f>
        <v>136</v>
      </c>
      <c r="Q276" s="24">
        <f>SUM(Q274:Q275)</f>
        <v>11</v>
      </c>
      <c r="R276" s="24">
        <f>SUM(R274:R275)</f>
        <v>1</v>
      </c>
      <c r="S276" s="24">
        <f>SUM(S274:S275)</f>
        <v>0</v>
      </c>
      <c r="T276" s="24">
        <f>SUM(T274:T275)</f>
        <v>0</v>
      </c>
      <c r="U276" s="24">
        <f>SUM(U274:U275)</f>
        <v>205</v>
      </c>
      <c r="V276" s="26">
        <f>IF(I276-Q276=0,"",IF(D276="",(P276+S276)/(I276-Q276),IF(AND(D276&lt;&gt;"",(P276+S276)/(I276-Q276)&gt;=50%),(P276+S276)/(I276-Q276),"")))</f>
        <v>0.9927007299270073</v>
      </c>
      <c r="W276" s="26">
        <f>IF(I276=O276,"",IF(V276="",0,(P276+Q276+S276-O276)/(I276-O276)))</f>
        <v>0.9875</v>
      </c>
      <c r="X276" s="49"/>
      <c r="Y276" s="49"/>
      <c r="Z276" s="49"/>
      <c r="AA276" s="49"/>
      <c r="AB276" s="50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</row>
    <row r="277" spans="1:41" s="39" customFormat="1" ht="24" customHeight="1">
      <c r="A277" s="32"/>
      <c r="B277" s="115" t="s">
        <v>89</v>
      </c>
      <c r="C277" s="14" t="s">
        <v>2</v>
      </c>
      <c r="D277" s="29" t="s">
        <v>30</v>
      </c>
      <c r="E277" s="16" t="s">
        <v>225</v>
      </c>
      <c r="F277" s="15"/>
      <c r="G277" s="15"/>
      <c r="H277" s="15"/>
      <c r="I277" s="17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8"/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39" customFormat="1" ht="18" customHeight="1">
      <c r="A278" s="32">
        <v>18</v>
      </c>
      <c r="B278" s="115"/>
      <c r="C278" s="20" t="str">
        <f>IF(A278="","VARA",VLOOKUP(A278,'[1]varas'!$A$4:$B$67,2))</f>
        <v>18ª VT Recife</v>
      </c>
      <c r="D278" s="29"/>
      <c r="E278" s="16"/>
      <c r="F278" s="15">
        <f>44+20+10+0</f>
        <v>74</v>
      </c>
      <c r="G278" s="15">
        <v>0</v>
      </c>
      <c r="H278" s="15">
        <v>0</v>
      </c>
      <c r="I278" s="17">
        <f>SUM(F278:H278)</f>
        <v>74</v>
      </c>
      <c r="J278" s="15">
        <v>37</v>
      </c>
      <c r="K278" s="15">
        <v>7</v>
      </c>
      <c r="L278" s="15">
        <v>10</v>
      </c>
      <c r="M278" s="15">
        <v>0</v>
      </c>
      <c r="N278" s="15">
        <v>0</v>
      </c>
      <c r="O278" s="15">
        <v>20</v>
      </c>
      <c r="P278" s="15">
        <f>SUM(J278:O278)</f>
        <v>74</v>
      </c>
      <c r="Q278" s="15">
        <v>0</v>
      </c>
      <c r="R278" s="15">
        <v>0</v>
      </c>
      <c r="S278" s="15">
        <v>0</v>
      </c>
      <c r="T278" s="15">
        <v>0</v>
      </c>
      <c r="U278" s="15">
        <v>110</v>
      </c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39" customFormat="1" ht="16.5" customHeight="1">
      <c r="A279" s="32"/>
      <c r="B279" s="115"/>
      <c r="C279" s="21" t="s">
        <v>12</v>
      </c>
      <c r="D279" s="33"/>
      <c r="E279" s="23"/>
      <c r="F279" s="24">
        <f>SUM(F277:F278)</f>
        <v>74</v>
      </c>
      <c r="G279" s="24">
        <f>SUM(G277:G278)</f>
        <v>0</v>
      </c>
      <c r="H279" s="24">
        <f>SUM(H277:H278)</f>
        <v>0</v>
      </c>
      <c r="I279" s="40">
        <f>SUM(F279:H279)</f>
        <v>74</v>
      </c>
      <c r="J279" s="24">
        <f aca="true" t="shared" si="78" ref="J279:O279">SUM(J277:J278)</f>
        <v>37</v>
      </c>
      <c r="K279" s="24">
        <f t="shared" si="78"/>
        <v>7</v>
      </c>
      <c r="L279" s="24">
        <f t="shared" si="78"/>
        <v>10</v>
      </c>
      <c r="M279" s="24">
        <f t="shared" si="78"/>
        <v>0</v>
      </c>
      <c r="N279" s="24">
        <f t="shared" si="78"/>
        <v>0</v>
      </c>
      <c r="O279" s="24">
        <f t="shared" si="78"/>
        <v>20</v>
      </c>
      <c r="P279" s="24">
        <f>SUM(J279:O279)</f>
        <v>74</v>
      </c>
      <c r="Q279" s="24">
        <f>SUM(Q277:Q278)</f>
        <v>0</v>
      </c>
      <c r="R279" s="24">
        <f>SUM(R277:R278)</f>
        <v>0</v>
      </c>
      <c r="S279" s="24">
        <f>SUM(S277:S278)</f>
        <v>0</v>
      </c>
      <c r="T279" s="24">
        <f>SUM(T277:T278)</f>
        <v>0</v>
      </c>
      <c r="U279" s="24">
        <f>SUM(U277:U278)</f>
        <v>110</v>
      </c>
      <c r="V279" s="26">
        <f>IF(I279-Q279=0,"",IF(D279="",(P279+S279)/(I279-Q279),IF(AND(D279&lt;&gt;"",(P279+S279)/(I279-Q279)&gt;=50%),(P279+S279)/(I279-Q279),"")))</f>
        <v>1</v>
      </c>
      <c r="W279" s="26">
        <f>IF(I279=O279,"",IF(V279="",0,(P279+Q279+S279-O279)/(I279-O279)))</f>
        <v>1</v>
      </c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39" customFormat="1" ht="24.75" customHeight="1">
      <c r="A280" s="32"/>
      <c r="B280" s="122" t="s">
        <v>90</v>
      </c>
      <c r="C280" s="14" t="s">
        <v>2</v>
      </c>
      <c r="D280" s="29"/>
      <c r="E280" s="16" t="s">
        <v>27</v>
      </c>
      <c r="F280" s="15"/>
      <c r="G280" s="15"/>
      <c r="H280" s="15"/>
      <c r="I280" s="17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39" customFormat="1" ht="17.25" customHeight="1">
      <c r="A281" s="32">
        <v>46</v>
      </c>
      <c r="B281" s="115"/>
      <c r="C281" s="20" t="str">
        <f>IF(A281="","VARA",VLOOKUP(A281,'[1]varas'!$A$4:$B$67,2))</f>
        <v>VT Belo Jardim</v>
      </c>
      <c r="D281" s="15"/>
      <c r="E281" s="16"/>
      <c r="F281" s="15">
        <f>68+131+2</f>
        <v>201</v>
      </c>
      <c r="G281" s="15">
        <v>0</v>
      </c>
      <c r="H281" s="15">
        <v>0</v>
      </c>
      <c r="I281" s="17">
        <f>SUM(F281:H281)</f>
        <v>201</v>
      </c>
      <c r="J281" s="15">
        <v>20</v>
      </c>
      <c r="K281" s="15">
        <v>48</v>
      </c>
      <c r="L281" s="15">
        <v>0</v>
      </c>
      <c r="M281" s="15">
        <v>2</v>
      </c>
      <c r="N281" s="15">
        <v>0</v>
      </c>
      <c r="O281" s="15">
        <v>131</v>
      </c>
      <c r="P281" s="15">
        <f>SUM(J281:O281)</f>
        <v>201</v>
      </c>
      <c r="Q281" s="15">
        <v>0</v>
      </c>
      <c r="R281" s="15">
        <v>0</v>
      </c>
      <c r="S281" s="15">
        <v>0</v>
      </c>
      <c r="T281" s="15">
        <v>0</v>
      </c>
      <c r="U281" s="15">
        <v>301</v>
      </c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53" customFormat="1" ht="17.25" customHeight="1">
      <c r="A282" s="47"/>
      <c r="B282" s="115"/>
      <c r="C282" s="21" t="s">
        <v>12</v>
      </c>
      <c r="D282" s="51"/>
      <c r="E282" s="52"/>
      <c r="F282" s="24">
        <f>SUM(F280:F281)</f>
        <v>201</v>
      </c>
      <c r="G282" s="24">
        <f>SUM(G280:G281)</f>
        <v>0</v>
      </c>
      <c r="H282" s="24">
        <f>SUM(H280:H281)</f>
        <v>0</v>
      </c>
      <c r="I282" s="25">
        <f>SUM(F282:H282)</f>
        <v>201</v>
      </c>
      <c r="J282" s="24">
        <f aca="true" t="shared" si="79" ref="J282:O282">SUM(J280:J281)</f>
        <v>20</v>
      </c>
      <c r="K282" s="24">
        <f t="shared" si="79"/>
        <v>48</v>
      </c>
      <c r="L282" s="24">
        <f t="shared" si="79"/>
        <v>0</v>
      </c>
      <c r="M282" s="24">
        <f t="shared" si="79"/>
        <v>2</v>
      </c>
      <c r="N282" s="24">
        <f t="shared" si="79"/>
        <v>0</v>
      </c>
      <c r="O282" s="24">
        <f t="shared" si="79"/>
        <v>131</v>
      </c>
      <c r="P282" s="24">
        <f>SUM(J282:O282)</f>
        <v>201</v>
      </c>
      <c r="Q282" s="24">
        <f>SUM(Q280:Q281)</f>
        <v>0</v>
      </c>
      <c r="R282" s="24">
        <f>SUM(R280:R281)</f>
        <v>0</v>
      </c>
      <c r="S282" s="24">
        <f>SUM(S280:S281)</f>
        <v>0</v>
      </c>
      <c r="T282" s="24">
        <f>SUM(T280:T281)</f>
        <v>0</v>
      </c>
      <c r="U282" s="24">
        <f>SUM(U280:U281)</f>
        <v>301</v>
      </c>
      <c r="V282" s="26">
        <f>IF(I282-Q282=0,"",IF(D282="",(P282+S282)/(I282-Q282),IF(AND(D282&lt;&gt;"",(P282+S282)/(I282-Q282)&gt;=50%),(P282+S282)/(I282-Q282),"")))</f>
        <v>1</v>
      </c>
      <c r="W282" s="26">
        <f>IF(I282=O282,"",IF(V282="",0,(P282+Q282+S282-O282)/(I282-O282)))</f>
        <v>1</v>
      </c>
      <c r="X282" s="49"/>
      <c r="Y282" s="49"/>
      <c r="Z282" s="49"/>
      <c r="AA282" s="49"/>
      <c r="AB282" s="50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</row>
    <row r="283" spans="1:41" s="39" customFormat="1" ht="26.25" customHeight="1">
      <c r="A283" s="32"/>
      <c r="B283" s="115" t="s">
        <v>91</v>
      </c>
      <c r="C283" s="14" t="s">
        <v>2</v>
      </c>
      <c r="D283" s="29" t="s">
        <v>226</v>
      </c>
      <c r="E283" s="16" t="s">
        <v>227</v>
      </c>
      <c r="F283" s="15"/>
      <c r="G283" s="15"/>
      <c r="H283" s="15"/>
      <c r="I283" s="17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39" customFormat="1" ht="19.5" customHeight="1">
      <c r="A284" s="32">
        <v>15</v>
      </c>
      <c r="B284" s="115"/>
      <c r="C284" s="20" t="str">
        <f>IF(A284="","VARA",VLOOKUP(A284,'[1]varas'!$A$4:$B$67,2))</f>
        <v>15ª VT Recife</v>
      </c>
      <c r="D284" s="15"/>
      <c r="E284" s="16"/>
      <c r="F284" s="15">
        <v>1</v>
      </c>
      <c r="G284" s="15">
        <v>9</v>
      </c>
      <c r="H284" s="15">
        <v>2</v>
      </c>
      <c r="I284" s="17">
        <f>SUM(F284:H284)</f>
        <v>12</v>
      </c>
      <c r="J284" s="15">
        <v>11</v>
      </c>
      <c r="K284" s="15">
        <v>0</v>
      </c>
      <c r="L284" s="15">
        <v>1</v>
      </c>
      <c r="M284" s="15">
        <v>0</v>
      </c>
      <c r="N284" s="15">
        <v>0</v>
      </c>
      <c r="O284" s="15">
        <v>0</v>
      </c>
      <c r="P284" s="15">
        <f>SUM(J284:O284)</f>
        <v>12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8"/>
      <c r="W284" s="18"/>
      <c r="X284" s="30"/>
      <c r="Y284" s="30"/>
      <c r="Z284" s="30"/>
      <c r="AA284" s="30"/>
      <c r="AB284" s="34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s="39" customFormat="1" ht="21" customHeight="1">
      <c r="A285" s="32"/>
      <c r="B285" s="115"/>
      <c r="C285" s="21" t="s">
        <v>12</v>
      </c>
      <c r="D285" s="33"/>
      <c r="E285" s="23"/>
      <c r="F285" s="24">
        <f>SUM(F283:F284)</f>
        <v>1</v>
      </c>
      <c r="G285" s="24">
        <f>SUM(G283:G284)</f>
        <v>9</v>
      </c>
      <c r="H285" s="24">
        <f>SUM(H283:H284)</f>
        <v>2</v>
      </c>
      <c r="I285" s="40">
        <f>SUM(F285:H285)</f>
        <v>12</v>
      </c>
      <c r="J285" s="24">
        <f aca="true" t="shared" si="80" ref="J285:O285">SUM(J283:J284)</f>
        <v>11</v>
      </c>
      <c r="K285" s="24">
        <f t="shared" si="80"/>
        <v>0</v>
      </c>
      <c r="L285" s="24">
        <f t="shared" si="80"/>
        <v>1</v>
      </c>
      <c r="M285" s="24">
        <f t="shared" si="80"/>
        <v>0</v>
      </c>
      <c r="N285" s="24">
        <f t="shared" si="80"/>
        <v>0</v>
      </c>
      <c r="O285" s="24">
        <f t="shared" si="80"/>
        <v>0</v>
      </c>
      <c r="P285" s="24">
        <f>SUM(J285:O285)</f>
        <v>12</v>
      </c>
      <c r="Q285" s="24">
        <f>SUM(Q283:Q284)</f>
        <v>0</v>
      </c>
      <c r="R285" s="24">
        <f>SUM(R283:R284)</f>
        <v>0</v>
      </c>
      <c r="S285" s="24">
        <f>SUM(S283:S284)</f>
        <v>0</v>
      </c>
      <c r="T285" s="24">
        <f>SUM(T283:T284)</f>
        <v>0</v>
      </c>
      <c r="U285" s="24">
        <f>SUM(U283:U284)</f>
        <v>0</v>
      </c>
      <c r="V285" s="26">
        <f>IF(I285-Q285=0,"",IF(D285="",(P285+S285)/(I285-Q285),IF(AND(D285&lt;&gt;"",(P285+S285)/(I285-Q285)&gt;=50%),(P285+S285)/(I285-Q285),"")))</f>
        <v>1</v>
      </c>
      <c r="W285" s="26">
        <f>IF(I285=O285,"",IF(V285="",0,(P285+Q285+S285-O285)/(I285-O285)))</f>
        <v>1</v>
      </c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21.75" customHeight="1">
      <c r="A286" s="32"/>
      <c r="B286" s="115" t="s">
        <v>92</v>
      </c>
      <c r="C286" s="14" t="s">
        <v>2</v>
      </c>
      <c r="D286" s="15"/>
      <c r="E286" s="16" t="s">
        <v>27</v>
      </c>
      <c r="F286" s="15"/>
      <c r="G286" s="15"/>
      <c r="H286" s="15"/>
      <c r="I286" s="17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39" customFormat="1" ht="19.5" customHeight="1">
      <c r="A287" s="32">
        <v>41</v>
      </c>
      <c r="B287" s="115"/>
      <c r="C287" s="20" t="str">
        <f>IF(A287="","VARA",VLOOKUP(A287,'[1]varas'!$A$4:$B$67,2))</f>
        <v>1ª VT Paulista</v>
      </c>
      <c r="D287" s="15"/>
      <c r="E287" s="16"/>
      <c r="F287" s="15">
        <f>153+44+12</f>
        <v>209</v>
      </c>
      <c r="G287" s="15">
        <v>17</v>
      </c>
      <c r="H287" s="15">
        <v>3</v>
      </c>
      <c r="I287" s="17">
        <f>SUM(F287:H287)</f>
        <v>229</v>
      </c>
      <c r="J287" s="15">
        <v>103</v>
      </c>
      <c r="K287" s="15">
        <v>23</v>
      </c>
      <c r="L287" s="15">
        <v>10</v>
      </c>
      <c r="M287" s="15">
        <v>0</v>
      </c>
      <c r="N287" s="15">
        <v>2</v>
      </c>
      <c r="O287" s="15">
        <v>44</v>
      </c>
      <c r="P287" s="15">
        <f>SUM(J287:O287)</f>
        <v>182</v>
      </c>
      <c r="Q287" s="15">
        <v>23</v>
      </c>
      <c r="R287" s="15">
        <v>24</v>
      </c>
      <c r="S287" s="15">
        <v>0</v>
      </c>
      <c r="T287" s="15">
        <v>0</v>
      </c>
      <c r="U287" s="15">
        <v>282</v>
      </c>
      <c r="V287" s="18"/>
      <c r="W287" s="18"/>
      <c r="X287" s="30"/>
      <c r="Y287" s="30"/>
      <c r="Z287" s="30"/>
      <c r="AA287" s="30"/>
      <c r="AB287" s="34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s="53" customFormat="1" ht="17.25" customHeight="1">
      <c r="A288" s="47"/>
      <c r="B288" s="115"/>
      <c r="C288" s="21" t="s">
        <v>12</v>
      </c>
      <c r="D288" s="51"/>
      <c r="E288" s="52"/>
      <c r="F288" s="24">
        <f>SUM(F286:F287)</f>
        <v>209</v>
      </c>
      <c r="G288" s="24">
        <f>SUM(G286:G287)</f>
        <v>17</v>
      </c>
      <c r="H288" s="24">
        <f>SUM(H286:H287)</f>
        <v>3</v>
      </c>
      <c r="I288" s="25">
        <f>SUM(F288:H288)</f>
        <v>229</v>
      </c>
      <c r="J288" s="24">
        <f aca="true" t="shared" si="81" ref="J288:O288">SUM(J286:J287)</f>
        <v>103</v>
      </c>
      <c r="K288" s="24">
        <f t="shared" si="81"/>
        <v>23</v>
      </c>
      <c r="L288" s="24">
        <f t="shared" si="81"/>
        <v>10</v>
      </c>
      <c r="M288" s="24">
        <f t="shared" si="81"/>
        <v>0</v>
      </c>
      <c r="N288" s="24">
        <f t="shared" si="81"/>
        <v>2</v>
      </c>
      <c r="O288" s="24">
        <f t="shared" si="81"/>
        <v>44</v>
      </c>
      <c r="P288" s="24">
        <f>SUM(J288:O288)</f>
        <v>182</v>
      </c>
      <c r="Q288" s="24">
        <f>SUM(Q286:Q287)</f>
        <v>23</v>
      </c>
      <c r="R288" s="24">
        <f>SUM(R286:R287)</f>
        <v>24</v>
      </c>
      <c r="S288" s="24">
        <f>SUM(S286:S287)</f>
        <v>0</v>
      </c>
      <c r="T288" s="24">
        <f>SUM(T286:T287)</f>
        <v>0</v>
      </c>
      <c r="U288" s="24">
        <f>SUM(U286:U287)</f>
        <v>282</v>
      </c>
      <c r="V288" s="26">
        <f>IF(I288-Q288=0,"",IF(D288="",(P288+S288)/(I288-Q288),IF(AND(D288&lt;&gt;"",(P288+S288)/(I288-Q288)&gt;=50%),(P288+S288)/(I288-Q288),"")))</f>
        <v>0.883495145631068</v>
      </c>
      <c r="W288" s="26">
        <f>IF(I288=O288,"",IF(V288="",0,(P288+Q288+S288-O288)/(I288-O288)))</f>
        <v>0.8702702702702703</v>
      </c>
      <c r="X288" s="49"/>
      <c r="Y288" s="49"/>
      <c r="Z288" s="49"/>
      <c r="AA288" s="49"/>
      <c r="AB288" s="50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</row>
    <row r="289" spans="1:41" s="39" customFormat="1" ht="21.75" customHeight="1">
      <c r="A289" s="32"/>
      <c r="B289" s="115" t="s">
        <v>93</v>
      </c>
      <c r="C289" s="14" t="s">
        <v>2</v>
      </c>
      <c r="D289" s="15"/>
      <c r="E289" s="16" t="s">
        <v>27</v>
      </c>
      <c r="F289" s="15"/>
      <c r="G289" s="15"/>
      <c r="H289" s="15"/>
      <c r="I289" s="17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39" customFormat="1" ht="16.5" customHeight="1">
      <c r="A290" s="32">
        <v>42</v>
      </c>
      <c r="B290" s="115"/>
      <c r="C290" s="20" t="str">
        <f>IF(A290="","VARA",VLOOKUP(A290,'[1]varas'!$A$4:$B$67,2))</f>
        <v>2ª VT Paulista</v>
      </c>
      <c r="D290" s="15"/>
      <c r="E290" s="16"/>
      <c r="F290" s="15">
        <f>72+39+5</f>
        <v>116</v>
      </c>
      <c r="G290" s="15">
        <v>20</v>
      </c>
      <c r="H290" s="15">
        <v>0</v>
      </c>
      <c r="I290" s="17">
        <f>SUM(F290:H290)</f>
        <v>136</v>
      </c>
      <c r="J290" s="15">
        <v>55</v>
      </c>
      <c r="K290" s="15">
        <v>9</v>
      </c>
      <c r="L290" s="15">
        <v>2</v>
      </c>
      <c r="M290" s="15">
        <v>3</v>
      </c>
      <c r="N290" s="15">
        <v>0</v>
      </c>
      <c r="O290" s="15">
        <v>39</v>
      </c>
      <c r="P290" s="15">
        <f>SUM(J290:O290)</f>
        <v>108</v>
      </c>
      <c r="Q290" s="15">
        <v>28</v>
      </c>
      <c r="R290" s="15">
        <v>0</v>
      </c>
      <c r="S290" s="15">
        <v>0</v>
      </c>
      <c r="T290" s="15">
        <v>0</v>
      </c>
      <c r="U290" s="15">
        <v>206</v>
      </c>
      <c r="V290" s="18"/>
      <c r="W290" s="18"/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53" customFormat="1" ht="18.75" customHeight="1">
      <c r="A291" s="47"/>
      <c r="B291" s="115"/>
      <c r="C291" s="21" t="s">
        <v>12</v>
      </c>
      <c r="D291" s="51"/>
      <c r="E291" s="52"/>
      <c r="F291" s="24">
        <f>SUM(F289:F290)</f>
        <v>116</v>
      </c>
      <c r="G291" s="24">
        <f>SUM(G289:G290)</f>
        <v>20</v>
      </c>
      <c r="H291" s="24">
        <f>SUM(H289:H290)</f>
        <v>0</v>
      </c>
      <c r="I291" s="25">
        <f>SUM(F291:H291)</f>
        <v>136</v>
      </c>
      <c r="J291" s="24">
        <f aca="true" t="shared" si="82" ref="J291:O291">SUM(J289:J290)</f>
        <v>55</v>
      </c>
      <c r="K291" s="24">
        <f t="shared" si="82"/>
        <v>9</v>
      </c>
      <c r="L291" s="24">
        <f t="shared" si="82"/>
        <v>2</v>
      </c>
      <c r="M291" s="24">
        <f t="shared" si="82"/>
        <v>3</v>
      </c>
      <c r="N291" s="24">
        <f t="shared" si="82"/>
        <v>0</v>
      </c>
      <c r="O291" s="24">
        <f t="shared" si="82"/>
        <v>39</v>
      </c>
      <c r="P291" s="24">
        <f>SUM(J291:O291)</f>
        <v>108</v>
      </c>
      <c r="Q291" s="24">
        <f>SUM(Q289:Q290)</f>
        <v>28</v>
      </c>
      <c r="R291" s="24">
        <f>SUM(R289:R290)</f>
        <v>0</v>
      </c>
      <c r="S291" s="24">
        <f>SUM(S289:S290)</f>
        <v>0</v>
      </c>
      <c r="T291" s="24">
        <f>SUM(T289:T290)</f>
        <v>0</v>
      </c>
      <c r="U291" s="24">
        <f>SUM(U289:U290)</f>
        <v>206</v>
      </c>
      <c r="V291" s="26">
        <f>IF(I291-Q291=0,"",IF(D291="",(P291+S291)/(I291-Q291),IF(AND(D291&lt;&gt;"",(P291+S291)/(I291-Q291)&gt;=50%),(P291+S291)/(I291-Q291),"")))</f>
        <v>1</v>
      </c>
      <c r="W291" s="26">
        <f>IF(I291=O291,"",IF(V291="",0,(P291+Q291+S291-O291)/(I291-O291)))</f>
        <v>1</v>
      </c>
      <c r="X291" s="49"/>
      <c r="Y291" s="49"/>
      <c r="Z291" s="49"/>
      <c r="AA291" s="49"/>
      <c r="AB291" s="50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</row>
    <row r="292" spans="1:41" s="39" customFormat="1" ht="24" customHeight="1">
      <c r="A292" s="32"/>
      <c r="B292" s="123" t="s">
        <v>94</v>
      </c>
      <c r="C292" s="14" t="s">
        <v>2</v>
      </c>
      <c r="D292" s="29"/>
      <c r="E292" s="16" t="s">
        <v>27</v>
      </c>
      <c r="F292" s="15"/>
      <c r="G292" s="15"/>
      <c r="H292" s="15"/>
      <c r="I292" s="17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18" customHeight="1">
      <c r="A293" s="32">
        <v>47</v>
      </c>
      <c r="B293" s="123"/>
      <c r="C293" s="20" t="str">
        <f>IF(A293="","VARA",VLOOKUP(A293,'[1]varas'!$A$4:$B$67,2))</f>
        <v>VT Carpina</v>
      </c>
      <c r="D293" s="15"/>
      <c r="E293" s="16"/>
      <c r="F293" s="15">
        <f>41+317+3</f>
        <v>361</v>
      </c>
      <c r="G293" s="15">
        <v>0</v>
      </c>
      <c r="H293" s="15">
        <v>0</v>
      </c>
      <c r="I293" s="17">
        <f>SUM(F293:H293)</f>
        <v>361</v>
      </c>
      <c r="J293" s="15">
        <v>7</v>
      </c>
      <c r="K293" s="15">
        <v>34</v>
      </c>
      <c r="L293" s="15">
        <v>1</v>
      </c>
      <c r="M293" s="15">
        <v>1</v>
      </c>
      <c r="N293" s="15">
        <v>1</v>
      </c>
      <c r="O293" s="15">
        <v>317</v>
      </c>
      <c r="P293" s="15">
        <f>SUM(J293:O293)</f>
        <v>361</v>
      </c>
      <c r="Q293" s="15">
        <v>0</v>
      </c>
      <c r="R293" s="15">
        <v>0</v>
      </c>
      <c r="S293" s="15">
        <v>0</v>
      </c>
      <c r="T293" s="15">
        <v>0</v>
      </c>
      <c r="U293" s="15">
        <v>389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53" customFormat="1" ht="21" customHeight="1">
      <c r="A294" s="47"/>
      <c r="B294" s="123"/>
      <c r="C294" s="21" t="s">
        <v>12</v>
      </c>
      <c r="D294" s="51"/>
      <c r="E294" s="52"/>
      <c r="F294" s="24">
        <f>SUM(F292:F293)</f>
        <v>361</v>
      </c>
      <c r="G294" s="24">
        <f>SUM(G292:G293)</f>
        <v>0</v>
      </c>
      <c r="H294" s="24">
        <f>SUM(H292:H293)</f>
        <v>0</v>
      </c>
      <c r="I294" s="25">
        <f>SUM(F294:H294)</f>
        <v>361</v>
      </c>
      <c r="J294" s="24">
        <f aca="true" t="shared" si="83" ref="J294:O294">SUM(J292:J293)</f>
        <v>7</v>
      </c>
      <c r="K294" s="24">
        <f t="shared" si="83"/>
        <v>34</v>
      </c>
      <c r="L294" s="24">
        <f t="shared" si="83"/>
        <v>1</v>
      </c>
      <c r="M294" s="24">
        <f t="shared" si="83"/>
        <v>1</v>
      </c>
      <c r="N294" s="24">
        <f t="shared" si="83"/>
        <v>1</v>
      </c>
      <c r="O294" s="24">
        <f t="shared" si="83"/>
        <v>317</v>
      </c>
      <c r="P294" s="24">
        <f>SUM(J294:O294)</f>
        <v>361</v>
      </c>
      <c r="Q294" s="24">
        <f>SUM(Q292:Q293)</f>
        <v>0</v>
      </c>
      <c r="R294" s="24">
        <f>SUM(R292:R293)</f>
        <v>0</v>
      </c>
      <c r="S294" s="24">
        <f>SUM(S292:S293)</f>
        <v>0</v>
      </c>
      <c r="T294" s="24">
        <f>SUM(T292:T293)</f>
        <v>0</v>
      </c>
      <c r="U294" s="24">
        <f>SUM(U292:U293)</f>
        <v>389</v>
      </c>
      <c r="V294" s="26">
        <f>IF(I294-Q294=0,"",IF(D294="",(P294+S294)/(I294-Q294),IF(AND(D294&lt;&gt;"",(P294+S294)/(I294-Q294)&gt;=50%),(P294+S294)/(I294-Q294),"")))</f>
        <v>1</v>
      </c>
      <c r="W294" s="26">
        <f>IF(I294=O294,"",IF(V294="",0,(P294+Q294+S294-O294)/(I294-O294)))</f>
        <v>1</v>
      </c>
      <c r="X294" s="49"/>
      <c r="Y294" s="49"/>
      <c r="Z294" s="49"/>
      <c r="AA294" s="49"/>
      <c r="AB294" s="50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</row>
    <row r="295" spans="1:41" s="39" customFormat="1" ht="22.5" customHeight="1">
      <c r="A295" s="32"/>
      <c r="B295" s="115" t="s">
        <v>95</v>
      </c>
      <c r="C295" s="14" t="s">
        <v>2</v>
      </c>
      <c r="D295" s="29" t="s">
        <v>228</v>
      </c>
      <c r="E295" s="16" t="s">
        <v>229</v>
      </c>
      <c r="F295" s="15"/>
      <c r="G295" s="15"/>
      <c r="H295" s="15"/>
      <c r="I295" s="17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8"/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17.25" customHeight="1">
      <c r="A296" s="32">
        <v>34</v>
      </c>
      <c r="B296" s="115"/>
      <c r="C296" s="20" t="str">
        <f>IF(A296="","VARA",VLOOKUP(A296,'[1]varas'!$A$4:$B$67,2))</f>
        <v>1ª VT Jaboatão</v>
      </c>
      <c r="D296" s="15"/>
      <c r="E296" s="16"/>
      <c r="F296" s="15">
        <f>48+20+4</f>
        <v>72</v>
      </c>
      <c r="G296" s="15">
        <v>11</v>
      </c>
      <c r="H296" s="15">
        <v>2</v>
      </c>
      <c r="I296" s="17">
        <f>SUM(F296:H296)</f>
        <v>85</v>
      </c>
      <c r="J296" s="15">
        <v>34</v>
      </c>
      <c r="K296" s="15">
        <v>14</v>
      </c>
      <c r="L296" s="15">
        <v>1</v>
      </c>
      <c r="M296" s="15">
        <v>4</v>
      </c>
      <c r="N296" s="15">
        <v>0</v>
      </c>
      <c r="O296" s="15">
        <v>19</v>
      </c>
      <c r="P296" s="15">
        <f>SUM(J296:O296)</f>
        <v>72</v>
      </c>
      <c r="Q296" s="15">
        <v>10</v>
      </c>
      <c r="R296" s="15">
        <v>3</v>
      </c>
      <c r="S296" s="15">
        <v>0</v>
      </c>
      <c r="T296" s="15">
        <v>0</v>
      </c>
      <c r="U296" s="15">
        <v>131</v>
      </c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53" customFormat="1" ht="19.5" customHeight="1">
      <c r="A297" s="47"/>
      <c r="B297" s="115"/>
      <c r="C297" s="21" t="s">
        <v>12</v>
      </c>
      <c r="D297" s="51"/>
      <c r="E297" s="52"/>
      <c r="F297" s="24">
        <f>SUM(F295:F296)</f>
        <v>72</v>
      </c>
      <c r="G297" s="24">
        <f>SUM(G295:G296)</f>
        <v>11</v>
      </c>
      <c r="H297" s="24">
        <f>SUM(H295:H296)</f>
        <v>2</v>
      </c>
      <c r="I297" s="25">
        <f>SUM(F297:H297)</f>
        <v>85</v>
      </c>
      <c r="J297" s="24">
        <f aca="true" t="shared" si="84" ref="J297:O297">SUM(J295:J296)</f>
        <v>34</v>
      </c>
      <c r="K297" s="24">
        <f t="shared" si="84"/>
        <v>14</v>
      </c>
      <c r="L297" s="24">
        <f t="shared" si="84"/>
        <v>1</v>
      </c>
      <c r="M297" s="24">
        <f t="shared" si="84"/>
        <v>4</v>
      </c>
      <c r="N297" s="24">
        <f t="shared" si="84"/>
        <v>0</v>
      </c>
      <c r="O297" s="24">
        <f t="shared" si="84"/>
        <v>19</v>
      </c>
      <c r="P297" s="24">
        <f>SUM(J297:O297)</f>
        <v>72</v>
      </c>
      <c r="Q297" s="24">
        <f>SUM(Q295:Q296)</f>
        <v>10</v>
      </c>
      <c r="R297" s="24">
        <f>SUM(R295:R296)</f>
        <v>3</v>
      </c>
      <c r="S297" s="24">
        <f>SUM(S295:S296)</f>
        <v>0</v>
      </c>
      <c r="T297" s="24">
        <f>SUM(T295:T296)</f>
        <v>0</v>
      </c>
      <c r="U297" s="24">
        <f>SUM(U295:U296)</f>
        <v>131</v>
      </c>
      <c r="V297" s="26">
        <f>IF(I297-Q297=0,"",IF(D297="",(P297+S297)/(I297-Q297),IF(AND(D297&lt;&gt;"",(P297+S297)/(I297-Q297)&gt;=50%),(P297+S297)/(I297-Q297),"")))</f>
        <v>0.96</v>
      </c>
      <c r="W297" s="26">
        <f>IF(I297=O297,"",IF(V297="",0,(P297+Q297+S297-O297)/(I297-O297)))</f>
        <v>0.9545454545454546</v>
      </c>
      <c r="X297" s="49"/>
      <c r="Y297" s="49"/>
      <c r="Z297" s="49"/>
      <c r="AA297" s="49"/>
      <c r="AB297" s="50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</row>
    <row r="298" spans="1:41" s="39" customFormat="1" ht="22.5" customHeight="1">
      <c r="A298" s="32"/>
      <c r="B298" s="115" t="s">
        <v>96</v>
      </c>
      <c r="C298" s="14" t="s">
        <v>161</v>
      </c>
      <c r="D298" s="29" t="s">
        <v>226</v>
      </c>
      <c r="E298" s="16" t="s">
        <v>227</v>
      </c>
      <c r="F298" s="15"/>
      <c r="G298" s="15"/>
      <c r="H298" s="15"/>
      <c r="I298" s="17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18" customHeight="1">
      <c r="A299" s="32">
        <v>27</v>
      </c>
      <c r="B299" s="115"/>
      <c r="C299" s="20" t="str">
        <f>IF(A299="","VARA",VLOOKUP(A299,'[1]varas'!$A$4:$B$67,2))</f>
        <v>2ª VT Cabo</v>
      </c>
      <c r="D299" s="15"/>
      <c r="E299" s="16"/>
      <c r="F299" s="15">
        <v>3</v>
      </c>
      <c r="G299" s="15">
        <v>3</v>
      </c>
      <c r="H299" s="15">
        <v>1</v>
      </c>
      <c r="I299" s="17">
        <f>SUM(F299:H299)</f>
        <v>7</v>
      </c>
      <c r="J299" s="15">
        <v>2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f>SUM(J299:O299)</f>
        <v>2</v>
      </c>
      <c r="Q299" s="15">
        <v>5</v>
      </c>
      <c r="R299" s="15">
        <v>0</v>
      </c>
      <c r="S299" s="15">
        <v>0</v>
      </c>
      <c r="T299" s="15">
        <v>0</v>
      </c>
      <c r="U299" s="15">
        <v>0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53" customFormat="1" ht="18.75" customHeight="1">
      <c r="A300" s="47"/>
      <c r="B300" s="115"/>
      <c r="C300" s="21" t="s">
        <v>12</v>
      </c>
      <c r="D300" s="51"/>
      <c r="E300" s="52"/>
      <c r="F300" s="24">
        <f>SUM(F298:F299)</f>
        <v>3</v>
      </c>
      <c r="G300" s="24">
        <f>SUM(G298:G299)</f>
        <v>3</v>
      </c>
      <c r="H300" s="24">
        <f>SUM(H298:H299)</f>
        <v>1</v>
      </c>
      <c r="I300" s="25">
        <f>SUM(F300:H300)</f>
        <v>7</v>
      </c>
      <c r="J300" s="24">
        <f aca="true" t="shared" si="85" ref="J300:O300">SUM(J298:J299)</f>
        <v>2</v>
      </c>
      <c r="K300" s="24">
        <f t="shared" si="85"/>
        <v>0</v>
      </c>
      <c r="L300" s="24">
        <f t="shared" si="85"/>
        <v>0</v>
      </c>
      <c r="M300" s="24">
        <f t="shared" si="85"/>
        <v>0</v>
      </c>
      <c r="N300" s="24">
        <f t="shared" si="85"/>
        <v>0</v>
      </c>
      <c r="O300" s="24">
        <f t="shared" si="85"/>
        <v>0</v>
      </c>
      <c r="P300" s="24">
        <f>SUM(J300:O300)</f>
        <v>2</v>
      </c>
      <c r="Q300" s="24">
        <f>SUM(Q298:Q299)</f>
        <v>5</v>
      </c>
      <c r="R300" s="24">
        <f>SUM(R298:R299)</f>
        <v>0</v>
      </c>
      <c r="S300" s="24">
        <f>SUM(S298:S299)</f>
        <v>0</v>
      </c>
      <c r="T300" s="24">
        <f>SUM(T298:T299)</f>
        <v>0</v>
      </c>
      <c r="U300" s="24">
        <f>SUM(U298:U299)</f>
        <v>0</v>
      </c>
      <c r="V300" s="26">
        <f>IF(I300-Q300=0,"",IF(D300="",(P300+S300)/(I300-Q300),IF(AND(D300&lt;&gt;"",(P300+S300)/(I300-Q300)&gt;=50%),(P300+S300)/(I300-Q300),"")))</f>
        <v>1</v>
      </c>
      <c r="W300" s="26">
        <f>IF(I300=O300,"",IF(V300="",0,(P300+Q300+S300-O300)/(I300-O300)))</f>
        <v>1</v>
      </c>
      <c r="X300" s="49"/>
      <c r="Y300" s="49"/>
      <c r="Z300" s="49"/>
      <c r="AA300" s="49"/>
      <c r="AB300" s="50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</row>
    <row r="301" spans="1:41" s="39" customFormat="1" ht="24.75" customHeight="1">
      <c r="A301" s="32"/>
      <c r="B301" s="115" t="s">
        <v>97</v>
      </c>
      <c r="C301" s="14" t="s">
        <v>2</v>
      </c>
      <c r="D301" s="29" t="s">
        <v>175</v>
      </c>
      <c r="E301" s="16" t="s">
        <v>178</v>
      </c>
      <c r="F301" s="15"/>
      <c r="G301" s="15"/>
      <c r="H301" s="15"/>
      <c r="I301" s="17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18.75" customHeight="1">
      <c r="A302" s="32">
        <v>6</v>
      </c>
      <c r="B302" s="115"/>
      <c r="C302" s="20" t="str">
        <f>IF(A302="","VARA",VLOOKUP(A302,'[1]varas'!$A$4:$B$67,2))</f>
        <v>6ª VT Recife</v>
      </c>
      <c r="D302" s="15"/>
      <c r="E302" s="16"/>
      <c r="F302" s="15">
        <v>0</v>
      </c>
      <c r="G302" s="15">
        <v>0</v>
      </c>
      <c r="H302" s="15">
        <v>0</v>
      </c>
      <c r="I302" s="17">
        <f>SUM(F302:H302)</f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f>SUM(J302:O302)</f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19.5" customHeight="1">
      <c r="A303" s="32"/>
      <c r="B303" s="115"/>
      <c r="C303" s="21" t="s">
        <v>12</v>
      </c>
      <c r="D303" s="33"/>
      <c r="E303" s="23"/>
      <c r="F303" s="24">
        <f>SUM(F301:F302)</f>
        <v>0</v>
      </c>
      <c r="G303" s="24">
        <f>SUM(G301:G302)</f>
        <v>0</v>
      </c>
      <c r="H303" s="24">
        <f>SUM(H301:H302)</f>
        <v>0</v>
      </c>
      <c r="I303" s="40">
        <f>SUM(F303:H303)</f>
        <v>0</v>
      </c>
      <c r="J303" s="24">
        <f aca="true" t="shared" si="86" ref="J303:O303">SUM(J301:J302)</f>
        <v>0</v>
      </c>
      <c r="K303" s="24">
        <f t="shared" si="86"/>
        <v>0</v>
      </c>
      <c r="L303" s="24">
        <f t="shared" si="86"/>
        <v>0</v>
      </c>
      <c r="M303" s="24">
        <f t="shared" si="86"/>
        <v>0</v>
      </c>
      <c r="N303" s="24">
        <f t="shared" si="86"/>
        <v>0</v>
      </c>
      <c r="O303" s="24">
        <f t="shared" si="86"/>
        <v>0</v>
      </c>
      <c r="P303" s="24">
        <f>SUM(J303:O303)</f>
        <v>0</v>
      </c>
      <c r="Q303" s="24">
        <f>SUM(Q301:Q302)</f>
        <v>0</v>
      </c>
      <c r="R303" s="24">
        <f>SUM(R301:R302)</f>
        <v>0</v>
      </c>
      <c r="S303" s="24">
        <f>SUM(S301:S302)</f>
        <v>0</v>
      </c>
      <c r="T303" s="24">
        <f>SUM(T301:T302)</f>
        <v>0</v>
      </c>
      <c r="U303" s="24">
        <f>SUM(U301:U302)</f>
        <v>0</v>
      </c>
      <c r="V303" s="26">
        <f>IF(I303-Q303=0,"",IF(D303="",(P303+S303)/(I303-Q303),IF(AND(D303&lt;&gt;"",(P303+S303)/(I303-Q303)&gt;=50%),(P303+S303)/(I303-Q303),"")))</f>
      </c>
      <c r="W303" s="26">
        <f>IF(I303=O303,"",IF(V303="",0,(P303+Q303+S303-O303)/(I303-O303)))</f>
      </c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18.75" customHeight="1">
      <c r="A304" s="32"/>
      <c r="B304" s="115" t="s">
        <v>172</v>
      </c>
      <c r="C304" s="14" t="s">
        <v>2</v>
      </c>
      <c r="D304" s="29" t="s">
        <v>210</v>
      </c>
      <c r="E304" s="16" t="s">
        <v>229</v>
      </c>
      <c r="F304" s="15"/>
      <c r="G304" s="15"/>
      <c r="H304" s="15"/>
      <c r="I304" s="17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1.75" customHeight="1">
      <c r="A305" s="32">
        <v>54</v>
      </c>
      <c r="B305" s="115"/>
      <c r="C305" s="20" t="str">
        <f>IF(A305="","VARA",VLOOKUP(A305,'[1]varas'!$A$4:$B$67,2))</f>
        <v>1ª VT Palmares</v>
      </c>
      <c r="D305" s="15"/>
      <c r="E305" s="16"/>
      <c r="F305" s="15">
        <v>9</v>
      </c>
      <c r="G305" s="15">
        <v>1</v>
      </c>
      <c r="H305" s="15">
        <v>0</v>
      </c>
      <c r="I305" s="17">
        <f>SUM(F305:H305)</f>
        <v>10</v>
      </c>
      <c r="J305" s="15">
        <v>3</v>
      </c>
      <c r="K305" s="15">
        <v>1</v>
      </c>
      <c r="L305" s="15">
        <v>2</v>
      </c>
      <c r="M305" s="15">
        <v>4</v>
      </c>
      <c r="N305" s="15">
        <v>0</v>
      </c>
      <c r="O305" s="15">
        <v>0</v>
      </c>
      <c r="P305" s="15">
        <f>SUM(J305:O305)</f>
        <v>10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23.25" customHeight="1">
      <c r="A306" s="32">
        <v>58</v>
      </c>
      <c r="B306" s="115"/>
      <c r="C306" s="20" t="str">
        <f>IF(A306="","VARA",VLOOKUP(A306,'[1]varas'!$A$4:$B$67,2))</f>
        <v>VT S.Talhada</v>
      </c>
      <c r="D306" s="15"/>
      <c r="E306" s="16"/>
      <c r="F306" s="15">
        <f>34+45+8</f>
        <v>87</v>
      </c>
      <c r="G306" s="15">
        <v>0</v>
      </c>
      <c r="H306" s="15">
        <v>0</v>
      </c>
      <c r="I306" s="17">
        <f>SUM(F306:H306)</f>
        <v>87</v>
      </c>
      <c r="J306" s="15">
        <v>23</v>
      </c>
      <c r="K306" s="15">
        <v>11</v>
      </c>
      <c r="L306" s="15">
        <v>8</v>
      </c>
      <c r="M306" s="15">
        <v>0</v>
      </c>
      <c r="N306" s="15">
        <v>0</v>
      </c>
      <c r="O306" s="15">
        <v>45</v>
      </c>
      <c r="P306" s="15">
        <f>SUM(J306:O306)</f>
        <v>87</v>
      </c>
      <c r="Q306" s="15">
        <v>0</v>
      </c>
      <c r="R306" s="15">
        <v>0</v>
      </c>
      <c r="S306" s="15">
        <v>0</v>
      </c>
      <c r="T306" s="15">
        <v>0</v>
      </c>
      <c r="U306" s="15">
        <v>46</v>
      </c>
      <c r="V306" s="18"/>
      <c r="W306" s="18"/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19.5" customHeight="1">
      <c r="A307" s="32">
        <v>63</v>
      </c>
      <c r="B307" s="115"/>
      <c r="C307" s="20" t="str">
        <f>IF(A307="","VARA",VLOOKUP(A307,'[1]varas'!$A$4:$B$67,2))</f>
        <v>PAJT Sertânia</v>
      </c>
      <c r="D307" s="15"/>
      <c r="E307" s="16"/>
      <c r="F307" s="15">
        <f>34+22+3</f>
        <v>59</v>
      </c>
      <c r="G307" s="15">
        <v>0</v>
      </c>
      <c r="H307" s="15">
        <v>0</v>
      </c>
      <c r="I307" s="17">
        <f>SUM(F307:H307)</f>
        <v>59</v>
      </c>
      <c r="J307" s="15">
        <v>24</v>
      </c>
      <c r="K307" s="15">
        <v>10</v>
      </c>
      <c r="L307" s="15">
        <v>2</v>
      </c>
      <c r="M307" s="15">
        <v>1</v>
      </c>
      <c r="N307" s="15">
        <v>0</v>
      </c>
      <c r="O307" s="15">
        <v>22</v>
      </c>
      <c r="P307" s="15">
        <f>SUM(J307:O307)</f>
        <v>59</v>
      </c>
      <c r="Q307" s="15">
        <v>0</v>
      </c>
      <c r="R307" s="15">
        <v>0</v>
      </c>
      <c r="S307" s="15">
        <v>0</v>
      </c>
      <c r="T307" s="15">
        <v>0</v>
      </c>
      <c r="U307" s="15">
        <v>100</v>
      </c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18" customHeight="1">
      <c r="A308" s="32"/>
      <c r="B308" s="115"/>
      <c r="C308" s="21" t="s">
        <v>12</v>
      </c>
      <c r="D308" s="33"/>
      <c r="E308" s="23"/>
      <c r="F308" s="24">
        <f>SUM(F304:F307)</f>
        <v>155</v>
      </c>
      <c r="G308" s="24">
        <f>SUM(G304:G307)</f>
        <v>1</v>
      </c>
      <c r="H308" s="24">
        <f>SUM(H304:H307)</f>
        <v>0</v>
      </c>
      <c r="I308" s="40">
        <f>SUM(F308:H308)</f>
        <v>156</v>
      </c>
      <c r="J308" s="24">
        <f aca="true" t="shared" si="87" ref="J308:O308">SUM(J304:J307)</f>
        <v>50</v>
      </c>
      <c r="K308" s="24">
        <f t="shared" si="87"/>
        <v>22</v>
      </c>
      <c r="L308" s="24">
        <f t="shared" si="87"/>
        <v>12</v>
      </c>
      <c r="M308" s="24">
        <f t="shared" si="87"/>
        <v>5</v>
      </c>
      <c r="N308" s="24">
        <f t="shared" si="87"/>
        <v>0</v>
      </c>
      <c r="O308" s="24">
        <f t="shared" si="87"/>
        <v>67</v>
      </c>
      <c r="P308" s="24">
        <f>SUM(J308:O308)</f>
        <v>156</v>
      </c>
      <c r="Q308" s="24">
        <f>SUM(Q304:Q307)</f>
        <v>0</v>
      </c>
      <c r="R308" s="24">
        <f>SUM(R304:R307)</f>
        <v>0</v>
      </c>
      <c r="S308" s="24">
        <f>SUM(S304:S307)</f>
        <v>0</v>
      </c>
      <c r="T308" s="24">
        <f>SUM(T304:T307)</f>
        <v>0</v>
      </c>
      <c r="U308" s="24">
        <f>SUM(U304:U307)</f>
        <v>146</v>
      </c>
      <c r="V308" s="26">
        <f>IF(I308-Q308=0,"",IF(D308="",(P308+S308)/(I308-Q308),IF(AND(D308&lt;&gt;"",(P308+S308)/(I308-Q308)&gt;=50%),(P308+S308)/(I308-Q308),"")))</f>
        <v>1</v>
      </c>
      <c r="W308" s="26">
        <f>IF(I308=O308,"",IF(V308="",0,(P308+Q308+S308-O308)/(I308-O308)))</f>
        <v>1</v>
      </c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1.75" customHeight="1">
      <c r="A309" s="32"/>
      <c r="B309" s="115" t="s">
        <v>98</v>
      </c>
      <c r="C309" s="14" t="s">
        <v>2</v>
      </c>
      <c r="D309" s="29" t="s">
        <v>30</v>
      </c>
      <c r="E309" s="16" t="s">
        <v>204</v>
      </c>
      <c r="F309" s="15"/>
      <c r="G309" s="15"/>
      <c r="H309" s="15"/>
      <c r="I309" s="17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18.75" customHeight="1">
      <c r="A310" s="32">
        <v>9</v>
      </c>
      <c r="B310" s="115"/>
      <c r="C310" s="20" t="str">
        <f>IF(A310="","VARA",VLOOKUP(A310,'[1]varas'!$A$4:$B$67,2))</f>
        <v>9ª VT Recife</v>
      </c>
      <c r="D310" s="15"/>
      <c r="E310" s="16"/>
      <c r="F310" s="15">
        <v>18</v>
      </c>
      <c r="G310" s="15">
        <v>51</v>
      </c>
      <c r="H310" s="15">
        <v>37</v>
      </c>
      <c r="I310" s="17">
        <f>SUM(F310:H310)</f>
        <v>106</v>
      </c>
      <c r="J310" s="15">
        <v>31</v>
      </c>
      <c r="K310" s="15">
        <v>1</v>
      </c>
      <c r="L310" s="15">
        <v>6</v>
      </c>
      <c r="M310" s="15">
        <v>0</v>
      </c>
      <c r="N310" s="15">
        <v>0</v>
      </c>
      <c r="O310" s="15">
        <v>0</v>
      </c>
      <c r="P310" s="15">
        <f>SUM(J310:O310)</f>
        <v>38</v>
      </c>
      <c r="Q310" s="15">
        <v>10</v>
      </c>
      <c r="R310" s="15">
        <v>57</v>
      </c>
      <c r="S310" s="15">
        <v>0</v>
      </c>
      <c r="T310" s="15">
        <v>1</v>
      </c>
      <c r="U310" s="15">
        <v>0</v>
      </c>
      <c r="V310" s="18"/>
      <c r="W310" s="18"/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16.5" customHeight="1">
      <c r="A311" s="32">
        <v>19</v>
      </c>
      <c r="B311" s="115"/>
      <c r="C311" s="20" t="str">
        <f>IF(A311="","VARA",VLOOKUP(A311,'[1]varas'!$A$4:$B$67,2))</f>
        <v>19ª VT Recife</v>
      </c>
      <c r="D311" s="15"/>
      <c r="E311" s="16"/>
      <c r="F311" s="15">
        <v>0</v>
      </c>
      <c r="G311" s="15">
        <v>0</v>
      </c>
      <c r="H311" s="15">
        <v>6</v>
      </c>
      <c r="I311" s="17">
        <f>SUM(F311:H311)</f>
        <v>6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f>SUM(J311:O311)</f>
        <v>0</v>
      </c>
      <c r="Q311" s="15">
        <v>0</v>
      </c>
      <c r="R311" s="15">
        <v>6</v>
      </c>
      <c r="S311" s="15">
        <v>0</v>
      </c>
      <c r="T311" s="15">
        <v>0</v>
      </c>
      <c r="U311" s="15">
        <v>0</v>
      </c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17.25" customHeight="1">
      <c r="A312" s="32"/>
      <c r="B312" s="121"/>
      <c r="C312" s="21" t="s">
        <v>12</v>
      </c>
      <c r="D312" s="33"/>
      <c r="E312" s="23"/>
      <c r="F312" s="24">
        <f>SUM(F309:F311)</f>
        <v>18</v>
      </c>
      <c r="G312" s="24">
        <f>SUM(G309:G311)</f>
        <v>51</v>
      </c>
      <c r="H312" s="24">
        <f>SUM(H309:H311)</f>
        <v>43</v>
      </c>
      <c r="I312" s="40">
        <f>SUM(F312:H312)</f>
        <v>112</v>
      </c>
      <c r="J312" s="24">
        <f aca="true" t="shared" si="88" ref="J312:O312">SUM(J309:J311)</f>
        <v>31</v>
      </c>
      <c r="K312" s="24">
        <f t="shared" si="88"/>
        <v>1</v>
      </c>
      <c r="L312" s="24">
        <f t="shared" si="88"/>
        <v>6</v>
      </c>
      <c r="M312" s="24">
        <f t="shared" si="88"/>
        <v>0</v>
      </c>
      <c r="N312" s="24">
        <f t="shared" si="88"/>
        <v>0</v>
      </c>
      <c r="O312" s="24">
        <f t="shared" si="88"/>
        <v>0</v>
      </c>
      <c r="P312" s="24">
        <f>SUM(J312:O312)</f>
        <v>38</v>
      </c>
      <c r="Q312" s="24">
        <f>SUM(Q309:Q311)</f>
        <v>10</v>
      </c>
      <c r="R312" s="24">
        <f>SUM(R309:R311)</f>
        <v>63</v>
      </c>
      <c r="S312" s="24">
        <f>SUM(S309:S311)</f>
        <v>0</v>
      </c>
      <c r="T312" s="24">
        <f>SUM(T309:T311)</f>
        <v>1</v>
      </c>
      <c r="U312" s="24">
        <f>SUM(U309:U311)</f>
        <v>0</v>
      </c>
      <c r="V312" s="26">
        <f>IF(I312-Q312=0,"",IF(D312="",(P312+S312)/(I312-Q312),IF(AND(D312&lt;&gt;"",(P312+S312)/(I312-Q312)&gt;=50%),(P312+S312)/(I312-Q312),"")))</f>
        <v>0.37254901960784315</v>
      </c>
      <c r="W312" s="26">
        <f>IF(I312=O312,"",IF(V312="",0,(P312+Q312+S312-O312)/(I312-O312)))</f>
        <v>0.42857142857142855</v>
      </c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39" customFormat="1" ht="21.75" customHeight="1">
      <c r="A313" s="32"/>
      <c r="B313" s="122" t="s">
        <v>99</v>
      </c>
      <c r="C313" s="14" t="s">
        <v>2</v>
      </c>
      <c r="D313" s="29"/>
      <c r="E313" s="16" t="s">
        <v>27</v>
      </c>
      <c r="F313" s="15"/>
      <c r="G313" s="15"/>
      <c r="H313" s="15"/>
      <c r="I313" s="17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8"/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39" customFormat="1" ht="21.75" customHeight="1">
      <c r="A314" s="32">
        <v>4</v>
      </c>
      <c r="B314" s="122"/>
      <c r="C314" s="20" t="str">
        <f>IF(A314="","VARA",VLOOKUP(A314,'[1]varas'!$A$4:$B$67,2))</f>
        <v>4ª VT Recife</v>
      </c>
      <c r="D314" s="15"/>
      <c r="E314" s="16"/>
      <c r="F314" s="15">
        <f>18+22+12</f>
        <v>52</v>
      </c>
      <c r="G314" s="15">
        <v>27</v>
      </c>
      <c r="H314" s="15">
        <v>0</v>
      </c>
      <c r="I314" s="17">
        <f>SUM(F314:H314)</f>
        <v>79</v>
      </c>
      <c r="J314" s="15">
        <v>35</v>
      </c>
      <c r="K314" s="15">
        <v>1</v>
      </c>
      <c r="L314" s="15">
        <v>10</v>
      </c>
      <c r="M314" s="15">
        <v>2</v>
      </c>
      <c r="N314" s="15">
        <v>0</v>
      </c>
      <c r="O314" s="15">
        <v>22</v>
      </c>
      <c r="P314" s="15">
        <f>SUM(J314:O314)</f>
        <v>70</v>
      </c>
      <c r="Q314" s="15">
        <v>1</v>
      </c>
      <c r="R314" s="15">
        <v>8</v>
      </c>
      <c r="S314" s="15">
        <v>0</v>
      </c>
      <c r="T314" s="15">
        <v>0</v>
      </c>
      <c r="U314" s="15">
        <v>142</v>
      </c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20.25" customHeight="1">
      <c r="A315" s="32"/>
      <c r="B315" s="115"/>
      <c r="C315" s="21" t="s">
        <v>12</v>
      </c>
      <c r="D315" s="33"/>
      <c r="E315" s="23"/>
      <c r="F315" s="24">
        <f>SUM(F313:F314)</f>
        <v>52</v>
      </c>
      <c r="G315" s="24">
        <f>SUM(G313:G314)</f>
        <v>27</v>
      </c>
      <c r="H315" s="24">
        <f>SUM(H313:H314)</f>
        <v>0</v>
      </c>
      <c r="I315" s="40">
        <f>SUM(F315:H315)</f>
        <v>79</v>
      </c>
      <c r="J315" s="24">
        <f aca="true" t="shared" si="89" ref="J315:O315">SUM(J313:J314)</f>
        <v>35</v>
      </c>
      <c r="K315" s="24">
        <f t="shared" si="89"/>
        <v>1</v>
      </c>
      <c r="L315" s="24">
        <f t="shared" si="89"/>
        <v>10</v>
      </c>
      <c r="M315" s="24">
        <f t="shared" si="89"/>
        <v>2</v>
      </c>
      <c r="N315" s="24">
        <f t="shared" si="89"/>
        <v>0</v>
      </c>
      <c r="O315" s="24">
        <f t="shared" si="89"/>
        <v>22</v>
      </c>
      <c r="P315" s="24">
        <f>SUM(J315:O315)</f>
        <v>70</v>
      </c>
      <c r="Q315" s="24">
        <f>SUM(Q313:Q314)</f>
        <v>1</v>
      </c>
      <c r="R315" s="24">
        <f>SUM(R313:R314)</f>
        <v>8</v>
      </c>
      <c r="S315" s="24">
        <f>SUM(S313:S314)</f>
        <v>0</v>
      </c>
      <c r="T315" s="24">
        <f>SUM(T313:T314)</f>
        <v>0</v>
      </c>
      <c r="U315" s="24">
        <f>SUM(U313:U314)</f>
        <v>142</v>
      </c>
      <c r="V315" s="26">
        <f>IF(I315-Q315=0,"",IF(D315="",(P315+S315)/(I315-Q315),IF(AND(D315&lt;&gt;"",(P315+S315)/(I315-Q315)&gt;=50%),(P315+S315)/(I315-Q315),"")))</f>
        <v>0.8974358974358975</v>
      </c>
      <c r="W315" s="26">
        <f>IF(I315=O315,"",IF(V315="",0,(P315+Q315+S315-O315)/(I315-O315)))</f>
        <v>0.8596491228070176</v>
      </c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39" customFormat="1" ht="23.25" customHeight="1">
      <c r="A316" s="32"/>
      <c r="B316" s="115" t="s">
        <v>100</v>
      </c>
      <c r="C316" s="14" t="s">
        <v>158</v>
      </c>
      <c r="D316" s="29" t="s">
        <v>43</v>
      </c>
      <c r="E316" s="16" t="s">
        <v>230</v>
      </c>
      <c r="F316" s="15"/>
      <c r="G316" s="15"/>
      <c r="H316" s="15"/>
      <c r="I316" s="17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8"/>
      <c r="X316" s="30"/>
      <c r="Y316" s="30"/>
      <c r="Z316" s="30"/>
      <c r="AA316" s="30"/>
      <c r="AB316" s="34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</row>
    <row r="317" spans="1:41" s="39" customFormat="1" ht="18.75" customHeight="1">
      <c r="A317" s="32">
        <v>39</v>
      </c>
      <c r="B317" s="115"/>
      <c r="C317" s="20" t="str">
        <f>IF(A317="","VARA",VLOOKUP(A317,'[1]varas'!$A$4:$B$67,2))</f>
        <v>2ª VT Olinda</v>
      </c>
      <c r="D317" s="15"/>
      <c r="E317" s="16"/>
      <c r="F317" s="15">
        <v>0</v>
      </c>
      <c r="G317" s="15">
        <v>0</v>
      </c>
      <c r="H317" s="15">
        <v>60</v>
      </c>
      <c r="I317" s="17">
        <f>SUM(F317:H317)</f>
        <v>60</v>
      </c>
      <c r="J317" s="15">
        <v>26</v>
      </c>
      <c r="K317" s="15">
        <v>1</v>
      </c>
      <c r="L317" s="15">
        <v>0</v>
      </c>
      <c r="M317" s="15">
        <v>0</v>
      </c>
      <c r="N317" s="15">
        <v>0</v>
      </c>
      <c r="O317" s="15">
        <v>0</v>
      </c>
      <c r="P317" s="15">
        <f>SUM(J317:O317)</f>
        <v>27</v>
      </c>
      <c r="Q317" s="15">
        <v>0</v>
      </c>
      <c r="R317" s="15">
        <v>33</v>
      </c>
      <c r="S317" s="15">
        <v>0</v>
      </c>
      <c r="T317" s="15">
        <v>0</v>
      </c>
      <c r="U317" s="15">
        <v>0</v>
      </c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53" customFormat="1" ht="18.75" customHeight="1">
      <c r="A318" s="47"/>
      <c r="B318" s="115"/>
      <c r="C318" s="21" t="s">
        <v>12</v>
      </c>
      <c r="D318" s="51"/>
      <c r="E318" s="52"/>
      <c r="F318" s="24">
        <f>SUM(F316:F317)</f>
        <v>0</v>
      </c>
      <c r="G318" s="24">
        <f>SUM(G316:G317)</f>
        <v>0</v>
      </c>
      <c r="H318" s="24">
        <f>SUM(H316:H317)</f>
        <v>60</v>
      </c>
      <c r="I318" s="25">
        <f>SUM(F318:H318)</f>
        <v>60</v>
      </c>
      <c r="J318" s="24">
        <f aca="true" t="shared" si="90" ref="J318:O318">SUM(J316:J317)</f>
        <v>26</v>
      </c>
      <c r="K318" s="24">
        <f t="shared" si="90"/>
        <v>1</v>
      </c>
      <c r="L318" s="24">
        <f t="shared" si="90"/>
        <v>0</v>
      </c>
      <c r="M318" s="24">
        <f t="shared" si="90"/>
        <v>0</v>
      </c>
      <c r="N318" s="24">
        <f t="shared" si="90"/>
        <v>0</v>
      </c>
      <c r="O318" s="24">
        <f t="shared" si="90"/>
        <v>0</v>
      </c>
      <c r="P318" s="24">
        <f>SUM(J318:O318)</f>
        <v>27</v>
      </c>
      <c r="Q318" s="24">
        <f>SUM(Q316:Q317)</f>
        <v>0</v>
      </c>
      <c r="R318" s="24">
        <f>SUM(R316:R317)</f>
        <v>33</v>
      </c>
      <c r="S318" s="24">
        <f>SUM(S316:S317)</f>
        <v>0</v>
      </c>
      <c r="T318" s="24">
        <f>SUM(T316:T317)</f>
        <v>0</v>
      </c>
      <c r="U318" s="24">
        <f>SUM(U316:U317)</f>
        <v>0</v>
      </c>
      <c r="V318" s="26">
        <f>IF(I318-Q318=0,"",IF(D318="",(P318+S318)/(I318-Q318),IF(AND(D318&lt;&gt;"",(P318+S318)/(I318-Q318)&gt;=50%),(P318+S318)/(I318-Q318),"")))</f>
        <v>0.45</v>
      </c>
      <c r="W318" s="26">
        <f>IF(I318=O318,"",IF(V318="",0,(P318+Q318+S318-O318)/(I318-O318)))</f>
        <v>0.45</v>
      </c>
      <c r="X318" s="49"/>
      <c r="Y318" s="49"/>
      <c r="Z318" s="49"/>
      <c r="AA318" s="49"/>
      <c r="AB318" s="50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</row>
    <row r="319" spans="1:41" s="39" customFormat="1" ht="20.25" customHeight="1">
      <c r="A319" s="32"/>
      <c r="B319" s="115" t="s">
        <v>101</v>
      </c>
      <c r="C319" s="14" t="s">
        <v>161</v>
      </c>
      <c r="D319" s="15"/>
      <c r="E319" s="16" t="s">
        <v>27</v>
      </c>
      <c r="F319" s="15"/>
      <c r="G319" s="15"/>
      <c r="H319" s="15"/>
      <c r="I319" s="17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8"/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39" customFormat="1" ht="20.25" customHeight="1">
      <c r="A320" s="32">
        <v>14</v>
      </c>
      <c r="B320" s="115"/>
      <c r="C320" s="20" t="str">
        <f>IF(A320="","VARA",VLOOKUP(A320,'[1]varas'!$A$4:$B$67,2))</f>
        <v>14ª VT Recife</v>
      </c>
      <c r="D320" s="15"/>
      <c r="E320" s="16"/>
      <c r="F320" s="15">
        <v>0</v>
      </c>
      <c r="G320" s="15">
        <v>3</v>
      </c>
      <c r="H320" s="15">
        <v>0</v>
      </c>
      <c r="I320" s="17">
        <f>SUM(F320:H320)</f>
        <v>3</v>
      </c>
      <c r="J320" s="15">
        <v>2</v>
      </c>
      <c r="K320" s="15">
        <v>1</v>
      </c>
      <c r="L320" s="15">
        <v>0</v>
      </c>
      <c r="M320" s="15">
        <v>0</v>
      </c>
      <c r="N320" s="15">
        <v>0</v>
      </c>
      <c r="O320" s="15">
        <v>0</v>
      </c>
      <c r="P320" s="15">
        <f>SUM(J320:O320)</f>
        <v>3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0.25" customHeight="1">
      <c r="A321" s="32">
        <v>19</v>
      </c>
      <c r="B321" s="115"/>
      <c r="C321" s="20" t="str">
        <f>IF(A321="","VARA",VLOOKUP(A321,'[1]varas'!$A$4:$B$67,2))</f>
        <v>19ª VT Recife</v>
      </c>
      <c r="D321" s="15"/>
      <c r="E321" s="16"/>
      <c r="F321" s="15">
        <f>23+31+5</f>
        <v>59</v>
      </c>
      <c r="G321" s="15">
        <v>0</v>
      </c>
      <c r="H321" s="15">
        <v>76</v>
      </c>
      <c r="I321" s="17">
        <f>SUM(F321:H321)</f>
        <v>135</v>
      </c>
      <c r="J321" s="15">
        <v>27</v>
      </c>
      <c r="K321" s="15">
        <v>17</v>
      </c>
      <c r="L321" s="15">
        <v>5</v>
      </c>
      <c r="M321" s="15">
        <v>0</v>
      </c>
      <c r="N321" s="15">
        <v>0</v>
      </c>
      <c r="O321" s="15">
        <v>31</v>
      </c>
      <c r="P321" s="15">
        <f>SUM(J321:O321)</f>
        <v>80</v>
      </c>
      <c r="Q321" s="15">
        <v>20</v>
      </c>
      <c r="R321" s="15">
        <v>35</v>
      </c>
      <c r="S321" s="15">
        <v>0</v>
      </c>
      <c r="T321" s="15">
        <v>0</v>
      </c>
      <c r="U321" s="15">
        <v>170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17.25" customHeight="1">
      <c r="A322" s="32">
        <v>21</v>
      </c>
      <c r="B322" s="115"/>
      <c r="C322" s="20" t="str">
        <f>IF(A322="","VARA",VLOOKUP(A322,'[1]varas'!$A$4:$B$67,2))</f>
        <v>21ª VT Recife</v>
      </c>
      <c r="D322" s="15"/>
      <c r="E322" s="16"/>
      <c r="F322" s="15">
        <v>0</v>
      </c>
      <c r="G322" s="15">
        <v>0</v>
      </c>
      <c r="H322" s="15">
        <v>1</v>
      </c>
      <c r="I322" s="17">
        <f>SUM(F322:H322)</f>
        <v>1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f>SUM(J322:O322)</f>
        <v>0</v>
      </c>
      <c r="Q322" s="15">
        <v>0</v>
      </c>
      <c r="R322" s="15">
        <v>1</v>
      </c>
      <c r="S322" s="15">
        <v>0</v>
      </c>
      <c r="T322" s="15">
        <v>0</v>
      </c>
      <c r="U322" s="15">
        <v>0</v>
      </c>
      <c r="V322" s="18"/>
      <c r="W322" s="18"/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39" customFormat="1" ht="15" customHeight="1">
      <c r="A323" s="32"/>
      <c r="B323" s="115"/>
      <c r="C323" s="21" t="s">
        <v>12</v>
      </c>
      <c r="D323" s="33"/>
      <c r="E323" s="23"/>
      <c r="F323" s="24">
        <f>SUM(F319:F322)</f>
        <v>59</v>
      </c>
      <c r="G323" s="24">
        <f>SUM(G319:G322)</f>
        <v>3</v>
      </c>
      <c r="H323" s="24">
        <f>SUM(H319:H322)</f>
        <v>77</v>
      </c>
      <c r="I323" s="40">
        <f>SUM(F323:H323)</f>
        <v>139</v>
      </c>
      <c r="J323" s="24">
        <f aca="true" t="shared" si="91" ref="J323:O323">SUM(J319:J322)</f>
        <v>29</v>
      </c>
      <c r="K323" s="24">
        <f t="shared" si="91"/>
        <v>18</v>
      </c>
      <c r="L323" s="24">
        <f t="shared" si="91"/>
        <v>5</v>
      </c>
      <c r="M323" s="24">
        <f t="shared" si="91"/>
        <v>0</v>
      </c>
      <c r="N323" s="24">
        <f t="shared" si="91"/>
        <v>0</v>
      </c>
      <c r="O323" s="24">
        <f t="shared" si="91"/>
        <v>31</v>
      </c>
      <c r="P323" s="24">
        <f>SUM(J323:O323)</f>
        <v>83</v>
      </c>
      <c r="Q323" s="24">
        <f>SUM(Q319:Q322)</f>
        <v>20</v>
      </c>
      <c r="R323" s="24">
        <f>SUM(R319:R322)</f>
        <v>36</v>
      </c>
      <c r="S323" s="24">
        <f>SUM(S319:S322)</f>
        <v>0</v>
      </c>
      <c r="T323" s="24">
        <f>SUM(T319:T322)</f>
        <v>0</v>
      </c>
      <c r="U323" s="24">
        <f>SUM(U319:U322)</f>
        <v>170</v>
      </c>
      <c r="V323" s="26">
        <f>IF(I323-Q323=0,"",IF(D323="",(P323+S323)/(I323-Q323),IF(AND(D323&lt;&gt;"",(P323+S323)/(I323-Q323)&gt;=50%),(P323+S323)/(I323-Q323),"")))</f>
        <v>0.6974789915966386</v>
      </c>
      <c r="W323" s="26">
        <f>IF(I323=O323,"",IF(V323="",0,(P323+Q323+S323-O323)/(I323-O323)))</f>
        <v>0.6666666666666666</v>
      </c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18.75" customHeight="1">
      <c r="A324" s="32"/>
      <c r="B324" s="115" t="s">
        <v>102</v>
      </c>
      <c r="C324" s="14" t="s">
        <v>2</v>
      </c>
      <c r="D324" s="29" t="s">
        <v>165</v>
      </c>
      <c r="E324" s="16" t="s">
        <v>231</v>
      </c>
      <c r="F324" s="15"/>
      <c r="G324" s="15"/>
      <c r="H324" s="15"/>
      <c r="I324" s="17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20.25" customHeight="1">
      <c r="A325" s="32">
        <v>38</v>
      </c>
      <c r="B325" s="115"/>
      <c r="C325" s="20" t="str">
        <f>IF(A325="","VARA",VLOOKUP(A325,'[1]varas'!$A$4:$B$67,2))</f>
        <v>1ª VT Olinda</v>
      </c>
      <c r="D325" s="29"/>
      <c r="E325" s="16"/>
      <c r="F325" s="15">
        <v>12</v>
      </c>
      <c r="G325" s="15">
        <v>0</v>
      </c>
      <c r="H325" s="15">
        <v>0</v>
      </c>
      <c r="I325" s="17">
        <f>SUM(F325:H325)</f>
        <v>12</v>
      </c>
      <c r="J325" s="15">
        <v>11</v>
      </c>
      <c r="K325" s="15">
        <v>0</v>
      </c>
      <c r="L325" s="15">
        <v>0</v>
      </c>
      <c r="M325" s="15">
        <v>1</v>
      </c>
      <c r="N325" s="15">
        <v>0</v>
      </c>
      <c r="O325" s="15">
        <v>0</v>
      </c>
      <c r="P325" s="15">
        <f>SUM(J325:O325)</f>
        <v>12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8"/>
      <c r="W325" s="18"/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53" customFormat="1" ht="20.25" customHeight="1">
      <c r="A326" s="47"/>
      <c r="B326" s="115"/>
      <c r="C326" s="21" t="s">
        <v>12</v>
      </c>
      <c r="D326" s="51"/>
      <c r="E326" s="52"/>
      <c r="F326" s="24">
        <f>SUM(F324:F325)</f>
        <v>12</v>
      </c>
      <c r="G326" s="24">
        <f>SUM(G324:G325)</f>
        <v>0</v>
      </c>
      <c r="H326" s="24">
        <f>SUM(H324:H325)</f>
        <v>0</v>
      </c>
      <c r="I326" s="25">
        <f>SUM(F326:H326)</f>
        <v>12</v>
      </c>
      <c r="J326" s="24">
        <f aca="true" t="shared" si="92" ref="J326:O326">SUM(J324:J325)</f>
        <v>11</v>
      </c>
      <c r="K326" s="24">
        <f t="shared" si="92"/>
        <v>0</v>
      </c>
      <c r="L326" s="24">
        <f t="shared" si="92"/>
        <v>0</v>
      </c>
      <c r="M326" s="24">
        <f t="shared" si="92"/>
        <v>1</v>
      </c>
      <c r="N326" s="24">
        <f t="shared" si="92"/>
        <v>0</v>
      </c>
      <c r="O326" s="24">
        <f t="shared" si="92"/>
        <v>0</v>
      </c>
      <c r="P326" s="24">
        <f>SUM(J326:O326)</f>
        <v>12</v>
      </c>
      <c r="Q326" s="24">
        <f>SUM(Q324:Q325)</f>
        <v>0</v>
      </c>
      <c r="R326" s="24">
        <f>SUM(R324:R325)</f>
        <v>0</v>
      </c>
      <c r="S326" s="24">
        <f>SUM(S324:S325)</f>
        <v>0</v>
      </c>
      <c r="T326" s="24">
        <f>SUM(T324:T325)</f>
        <v>0</v>
      </c>
      <c r="U326" s="24">
        <f>SUM(U324:U325)</f>
        <v>0</v>
      </c>
      <c r="V326" s="26">
        <f>IF(I326-Q326=0,"",IF(D326="",(P326+S326)/(I326-Q326),IF(AND(D326&lt;&gt;"",(P326+S326)/(I326-Q326)&gt;=50%),(P326+S326)/(I326-Q326),"")))</f>
        <v>1</v>
      </c>
      <c r="W326" s="26">
        <f>IF(I326=O326,"",IF(V326="",0,(P326+Q326+S326-O326)/(I326-O326)))</f>
        <v>1</v>
      </c>
      <c r="X326" s="49"/>
      <c r="Y326" s="49"/>
      <c r="Z326" s="49"/>
      <c r="AA326" s="49"/>
      <c r="AB326" s="50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</row>
    <row r="327" spans="1:41" s="39" customFormat="1" ht="18.75" customHeight="1">
      <c r="A327" s="32"/>
      <c r="B327" s="115" t="s">
        <v>103</v>
      </c>
      <c r="C327" s="14" t="s">
        <v>2</v>
      </c>
      <c r="D327" s="15"/>
      <c r="E327" s="16" t="s">
        <v>27</v>
      </c>
      <c r="F327" s="15"/>
      <c r="G327" s="15"/>
      <c r="H327" s="15"/>
      <c r="I327" s="17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18" customHeight="1">
      <c r="A328" s="32">
        <v>36</v>
      </c>
      <c r="B328" s="115"/>
      <c r="C328" s="20" t="str">
        <f>IF(A328="","VARA",VLOOKUP(A328,'[1]varas'!$A$4:$B$67,2))</f>
        <v>3ª VT Jaboatão</v>
      </c>
      <c r="D328" s="15"/>
      <c r="E328" s="16"/>
      <c r="F328" s="15">
        <f>32+20+16</f>
        <v>68</v>
      </c>
      <c r="G328" s="15">
        <v>11</v>
      </c>
      <c r="H328" s="15">
        <v>2</v>
      </c>
      <c r="I328" s="17">
        <f>SUM(F328:H328)</f>
        <v>81</v>
      </c>
      <c r="J328" s="15">
        <v>30</v>
      </c>
      <c r="K328" s="15">
        <v>12</v>
      </c>
      <c r="L328" s="15">
        <v>8</v>
      </c>
      <c r="M328" s="15">
        <v>8</v>
      </c>
      <c r="N328" s="15">
        <v>0</v>
      </c>
      <c r="O328" s="15">
        <v>20</v>
      </c>
      <c r="P328" s="15">
        <f>SUM(J328:O328)</f>
        <v>78</v>
      </c>
      <c r="Q328" s="15">
        <v>1</v>
      </c>
      <c r="R328" s="15">
        <v>0</v>
      </c>
      <c r="S328" s="15">
        <v>0</v>
      </c>
      <c r="T328" s="15">
        <v>2</v>
      </c>
      <c r="U328" s="15">
        <v>102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39" customFormat="1" ht="16.5" customHeight="1">
      <c r="A329" s="32"/>
      <c r="B329" s="115"/>
      <c r="C329" s="21" t="s">
        <v>12</v>
      </c>
      <c r="D329" s="33"/>
      <c r="E329" s="23"/>
      <c r="F329" s="24">
        <f>SUM(F327:F328)</f>
        <v>68</v>
      </c>
      <c r="G329" s="24">
        <f>SUM(G327:G328)</f>
        <v>11</v>
      </c>
      <c r="H329" s="24">
        <f>SUM(H327:H328)</f>
        <v>2</v>
      </c>
      <c r="I329" s="40">
        <f>SUM(F329:H329)</f>
        <v>81</v>
      </c>
      <c r="J329" s="24">
        <f aca="true" t="shared" si="93" ref="J329:O329">SUM(J327:J328)</f>
        <v>30</v>
      </c>
      <c r="K329" s="24">
        <f t="shared" si="93"/>
        <v>12</v>
      </c>
      <c r="L329" s="24">
        <f t="shared" si="93"/>
        <v>8</v>
      </c>
      <c r="M329" s="24">
        <f t="shared" si="93"/>
        <v>8</v>
      </c>
      <c r="N329" s="24">
        <f t="shared" si="93"/>
        <v>0</v>
      </c>
      <c r="O329" s="24">
        <f t="shared" si="93"/>
        <v>20</v>
      </c>
      <c r="P329" s="24">
        <f>SUM(J329:O329)</f>
        <v>78</v>
      </c>
      <c r="Q329" s="24">
        <f>SUM(Q327:Q328)</f>
        <v>1</v>
      </c>
      <c r="R329" s="24">
        <f>SUM(R327:R328)</f>
        <v>0</v>
      </c>
      <c r="S329" s="24">
        <f>SUM(S327:S328)</f>
        <v>0</v>
      </c>
      <c r="T329" s="24">
        <f>SUM(T327:T328)</f>
        <v>2</v>
      </c>
      <c r="U329" s="24">
        <f>SUM(U327:U328)</f>
        <v>102</v>
      </c>
      <c r="V329" s="26">
        <f>IF(I329-Q329=0,"",IF(D329="",(P329+S329)/(I329-Q329),IF(AND(D329&lt;&gt;"",(P329+S329)/(I329-Q329)&gt;=50%),(P329+S329)/(I329-Q329),"")))</f>
        <v>0.975</v>
      </c>
      <c r="W329" s="26">
        <f>IF(I329=O329,"",IF(V329="",0,(P329+Q329+S329-O329)/(I329-O329)))</f>
        <v>0.9672131147540983</v>
      </c>
      <c r="X329" s="30"/>
      <c r="Y329" s="30"/>
      <c r="Z329" s="30"/>
      <c r="AA329" s="30"/>
      <c r="AB329" s="34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s="39" customFormat="1" ht="21" customHeight="1">
      <c r="A330" s="32"/>
      <c r="B330" s="115" t="s">
        <v>104</v>
      </c>
      <c r="C330" s="14" t="s">
        <v>2</v>
      </c>
      <c r="D330" s="29"/>
      <c r="E330" s="16" t="s">
        <v>27</v>
      </c>
      <c r="F330" s="15"/>
      <c r="G330" s="15"/>
      <c r="H330" s="15"/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39" customFormat="1" ht="16.5" customHeight="1">
      <c r="A331" s="32">
        <v>6</v>
      </c>
      <c r="B331" s="115"/>
      <c r="C331" s="20" t="str">
        <f>IF(A331="","VARA",VLOOKUP(A331,'[1]varas'!$A$4:$B$67,2))</f>
        <v>6ª VT Recife</v>
      </c>
      <c r="D331" s="15"/>
      <c r="E331" s="16"/>
      <c r="F331" s="15">
        <f>49+42+8+6</f>
        <v>105</v>
      </c>
      <c r="G331" s="15">
        <v>10</v>
      </c>
      <c r="H331" s="15">
        <v>0</v>
      </c>
      <c r="I331" s="17">
        <f>SUM(F331:H331)</f>
        <v>115</v>
      </c>
      <c r="J331" s="15">
        <v>28</v>
      </c>
      <c r="K331" s="15">
        <v>17</v>
      </c>
      <c r="L331" s="15">
        <v>8</v>
      </c>
      <c r="M331" s="15">
        <v>5</v>
      </c>
      <c r="N331" s="15">
        <v>1</v>
      </c>
      <c r="O331" s="15">
        <v>42</v>
      </c>
      <c r="P331" s="15">
        <f>SUM(J331:O331)</f>
        <v>101</v>
      </c>
      <c r="Q331" s="15">
        <v>7</v>
      </c>
      <c r="R331" s="15">
        <v>7</v>
      </c>
      <c r="S331" s="15">
        <v>0</v>
      </c>
      <c r="T331" s="15">
        <v>0</v>
      </c>
      <c r="U331" s="15">
        <v>219</v>
      </c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53" customFormat="1" ht="20.25" customHeight="1">
      <c r="A332" s="47"/>
      <c r="B332" s="115"/>
      <c r="C332" s="21" t="s">
        <v>12</v>
      </c>
      <c r="D332" s="51"/>
      <c r="E332" s="52"/>
      <c r="F332" s="24">
        <f>SUM(F330:F331)</f>
        <v>105</v>
      </c>
      <c r="G332" s="24">
        <f>SUM(G330:G331)</f>
        <v>10</v>
      </c>
      <c r="H332" s="24">
        <f>SUM(H330:H331)</f>
        <v>0</v>
      </c>
      <c r="I332" s="25">
        <f>SUM(F332:H332)</f>
        <v>115</v>
      </c>
      <c r="J332" s="24">
        <f aca="true" t="shared" si="94" ref="J332:O332">SUM(J330:J331)</f>
        <v>28</v>
      </c>
      <c r="K332" s="24">
        <f t="shared" si="94"/>
        <v>17</v>
      </c>
      <c r="L332" s="24">
        <f t="shared" si="94"/>
        <v>8</v>
      </c>
      <c r="M332" s="24">
        <f t="shared" si="94"/>
        <v>5</v>
      </c>
      <c r="N332" s="24">
        <f t="shared" si="94"/>
        <v>1</v>
      </c>
      <c r="O332" s="24">
        <f t="shared" si="94"/>
        <v>42</v>
      </c>
      <c r="P332" s="24">
        <f>SUM(J332:O332)</f>
        <v>101</v>
      </c>
      <c r="Q332" s="24">
        <f>SUM(Q330:Q331)</f>
        <v>7</v>
      </c>
      <c r="R332" s="24">
        <f>SUM(R330:R331)</f>
        <v>7</v>
      </c>
      <c r="S332" s="24">
        <f>SUM(S330:S331)</f>
        <v>0</v>
      </c>
      <c r="T332" s="24">
        <f>SUM(T330:T331)</f>
        <v>0</v>
      </c>
      <c r="U332" s="24">
        <f>SUM(U330:U331)</f>
        <v>219</v>
      </c>
      <c r="V332" s="26">
        <f>IF(I332-Q332=0,"",IF(D332="",(P332+S332)/(I332-Q332),IF(AND(D332&lt;&gt;"",(P332+S332)/(I332-Q332)&gt;=50%),(P332+S332)/(I332-Q332),"")))</f>
        <v>0.9351851851851852</v>
      </c>
      <c r="W332" s="26">
        <f>IF(I332=O332,"",IF(V332="",0,(P332+Q332+S332-O332)/(I332-O332)))</f>
        <v>0.9041095890410958</v>
      </c>
      <c r="X332" s="49"/>
      <c r="Y332" s="49"/>
      <c r="Z332" s="49"/>
      <c r="AA332" s="49"/>
      <c r="AB332" s="50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</row>
    <row r="333" spans="1:41" s="39" customFormat="1" ht="22.5" customHeight="1">
      <c r="A333" s="32"/>
      <c r="B333" s="115" t="s">
        <v>105</v>
      </c>
      <c r="C333" s="14" t="s">
        <v>158</v>
      </c>
      <c r="D333" s="29"/>
      <c r="E333" s="16" t="s">
        <v>27</v>
      </c>
      <c r="F333" s="15"/>
      <c r="G333" s="15"/>
      <c r="H333" s="15"/>
      <c r="I333" s="17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8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18.75" customHeight="1">
      <c r="A334" s="32">
        <v>17</v>
      </c>
      <c r="B334" s="115"/>
      <c r="C334" s="20" t="str">
        <f>IF(A334="","VARA",VLOOKUP(A334,'[1]varas'!$A$4:$B$67,2))</f>
        <v>17ª VT Recife</v>
      </c>
      <c r="D334" s="29"/>
      <c r="E334" s="16"/>
      <c r="F334" s="15">
        <v>0</v>
      </c>
      <c r="G334" s="15">
        <v>10</v>
      </c>
      <c r="H334" s="15">
        <v>5</v>
      </c>
      <c r="I334" s="17">
        <f>SUM(F334:H334)</f>
        <v>15</v>
      </c>
      <c r="J334" s="15">
        <v>12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f>SUM(J334:O334)</f>
        <v>12</v>
      </c>
      <c r="Q334" s="15">
        <v>0</v>
      </c>
      <c r="R334" s="15">
        <v>3</v>
      </c>
      <c r="S334" s="15">
        <v>0</v>
      </c>
      <c r="T334" s="15">
        <v>0</v>
      </c>
      <c r="U334" s="15">
        <v>0</v>
      </c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18.75" customHeight="1">
      <c r="A335" s="32">
        <v>23</v>
      </c>
      <c r="B335" s="115"/>
      <c r="C335" s="20" t="str">
        <f>IF(A335="","VARA",VLOOKUP(A335,'[1]varas'!$A$4:$B$67,2))</f>
        <v>23ª VT Recife</v>
      </c>
      <c r="D335" s="29"/>
      <c r="E335" s="16"/>
      <c r="F335" s="15">
        <f>61+42+3</f>
        <v>106</v>
      </c>
      <c r="G335" s="15">
        <v>0</v>
      </c>
      <c r="H335" s="15">
        <v>0</v>
      </c>
      <c r="I335" s="17">
        <f>SUM(F335:H335)</f>
        <v>106</v>
      </c>
      <c r="J335" s="15">
        <v>6</v>
      </c>
      <c r="K335" s="15">
        <v>23</v>
      </c>
      <c r="L335" s="15">
        <v>0</v>
      </c>
      <c r="M335" s="15">
        <v>3</v>
      </c>
      <c r="N335" s="15">
        <v>0</v>
      </c>
      <c r="O335" s="15">
        <v>42</v>
      </c>
      <c r="P335" s="15">
        <f>SUM(J335:O335)</f>
        <v>74</v>
      </c>
      <c r="Q335" s="15">
        <v>14</v>
      </c>
      <c r="R335" s="15">
        <v>18</v>
      </c>
      <c r="S335" s="15">
        <v>0</v>
      </c>
      <c r="T335" s="15">
        <v>0</v>
      </c>
      <c r="U335" s="15">
        <v>192</v>
      </c>
      <c r="V335" s="18"/>
      <c r="W335" s="18"/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39" customFormat="1" ht="17.25" customHeight="1">
      <c r="A336" s="32">
        <v>53</v>
      </c>
      <c r="B336" s="115"/>
      <c r="C336" s="20" t="str">
        <f>IF(A336="","VARA",VLOOKUP(A336,'[1]varas'!$A$4:$B$67,2))</f>
        <v>VT Nazaré</v>
      </c>
      <c r="D336" s="29"/>
      <c r="E336" s="16"/>
      <c r="F336" s="15">
        <v>0</v>
      </c>
      <c r="G336" s="15">
        <v>4</v>
      </c>
      <c r="H336" s="15">
        <v>0</v>
      </c>
      <c r="I336" s="17">
        <f>SUM(F336:H336)</f>
        <v>4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f>SUM(J336:O336)</f>
        <v>0</v>
      </c>
      <c r="Q336" s="15">
        <v>0</v>
      </c>
      <c r="R336" s="15">
        <v>4</v>
      </c>
      <c r="S336" s="15">
        <v>0</v>
      </c>
      <c r="T336" s="15">
        <v>0</v>
      </c>
      <c r="U336" s="15">
        <v>0</v>
      </c>
      <c r="V336" s="18"/>
      <c r="W336" s="18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53" customFormat="1" ht="19.5" customHeight="1">
      <c r="A337" s="47"/>
      <c r="B337" s="115"/>
      <c r="C337" s="20" t="s">
        <v>12</v>
      </c>
      <c r="D337" s="24"/>
      <c r="E337" s="48"/>
      <c r="F337" s="24">
        <f>SUM(F333:F336)</f>
        <v>106</v>
      </c>
      <c r="G337" s="24">
        <f>SUM(G333:G336)</f>
        <v>14</v>
      </c>
      <c r="H337" s="24">
        <f>SUM(H333:H336)</f>
        <v>5</v>
      </c>
      <c r="I337" s="40">
        <f>SUM(F337:H337)</f>
        <v>125</v>
      </c>
      <c r="J337" s="24">
        <f aca="true" t="shared" si="95" ref="J337:O337">SUM(J333:J336)</f>
        <v>18</v>
      </c>
      <c r="K337" s="24">
        <f t="shared" si="95"/>
        <v>23</v>
      </c>
      <c r="L337" s="24">
        <f t="shared" si="95"/>
        <v>0</v>
      </c>
      <c r="M337" s="24">
        <f t="shared" si="95"/>
        <v>3</v>
      </c>
      <c r="N337" s="24">
        <f t="shared" si="95"/>
        <v>0</v>
      </c>
      <c r="O337" s="24">
        <f t="shared" si="95"/>
        <v>42</v>
      </c>
      <c r="P337" s="24">
        <f>SUM(J337:O337)</f>
        <v>86</v>
      </c>
      <c r="Q337" s="24">
        <f>SUM(Q333:Q336)</f>
        <v>14</v>
      </c>
      <c r="R337" s="24">
        <f>SUM(R333:R336)</f>
        <v>25</v>
      </c>
      <c r="S337" s="24">
        <f>SUM(S333:S336)</f>
        <v>0</v>
      </c>
      <c r="T337" s="24">
        <f>SUM(T333:T336)</f>
        <v>0</v>
      </c>
      <c r="U337" s="24">
        <f>SUM(U333:U336)</f>
        <v>192</v>
      </c>
      <c r="V337" s="26">
        <f>IF(I337-Q337=0,"",IF(D337="",(P337+S337)/(I337-Q337),IF(AND(D337&lt;&gt;"",(P337+S337)/(I337-Q337)&gt;=50%),(P337+S337)/(I337-Q337),"")))</f>
        <v>0.7747747747747747</v>
      </c>
      <c r="W337" s="26">
        <f>IF(I337=O337,"",IF(V337="",0,(P337+Q337+S337-O337)/(I337-O337)))</f>
        <v>0.6987951807228916</v>
      </c>
      <c r="X337" s="49"/>
      <c r="Y337" s="49"/>
      <c r="Z337" s="49"/>
      <c r="AA337" s="49"/>
      <c r="AB337" s="50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</row>
    <row r="338" spans="1:41" s="39" customFormat="1" ht="21.75" customHeight="1">
      <c r="A338" s="32"/>
      <c r="B338" s="115" t="s">
        <v>106</v>
      </c>
      <c r="C338" s="14" t="s">
        <v>2</v>
      </c>
      <c r="D338" s="29"/>
      <c r="E338" s="16" t="s">
        <v>27</v>
      </c>
      <c r="F338" s="15"/>
      <c r="G338" s="15"/>
      <c r="H338" s="15"/>
      <c r="I338" s="17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8"/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39" customFormat="1" ht="21.75" customHeight="1">
      <c r="A339" s="32">
        <v>12</v>
      </c>
      <c r="B339" s="115"/>
      <c r="C339" s="20" t="str">
        <f>IF(A339="","VARA",VLOOKUP(A339,'[1]varas'!$A$4:$B$67,2))</f>
        <v>12ª VT Recife</v>
      </c>
      <c r="D339" s="29"/>
      <c r="E339" s="16"/>
      <c r="F339" s="15">
        <v>1</v>
      </c>
      <c r="G339" s="15">
        <v>0</v>
      </c>
      <c r="H339" s="15">
        <v>0</v>
      </c>
      <c r="I339" s="17">
        <f>SUM(F339:H339)</f>
        <v>1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1</v>
      </c>
      <c r="P339" s="15">
        <f>SUM(J339:O339)</f>
        <v>1</v>
      </c>
      <c r="Q339" s="15">
        <v>0</v>
      </c>
      <c r="R339" s="15">
        <v>0</v>
      </c>
      <c r="S339" s="15">
        <v>0</v>
      </c>
      <c r="T339" s="15">
        <v>0</v>
      </c>
      <c r="U339" s="15">
        <v>1</v>
      </c>
      <c r="V339" s="18"/>
      <c r="W339" s="18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1.75" customHeight="1">
      <c r="A340" s="32">
        <v>13</v>
      </c>
      <c r="B340" s="115"/>
      <c r="C340" s="20" t="str">
        <f>IF(A340="","VARA",VLOOKUP(A340,'[1]varas'!$A$4:$B$67,2))</f>
        <v>13ª VT Recife</v>
      </c>
      <c r="D340" s="29"/>
      <c r="E340" s="16"/>
      <c r="F340" s="15">
        <f>43+36+14+2</f>
        <v>95</v>
      </c>
      <c r="G340" s="15">
        <v>14</v>
      </c>
      <c r="H340" s="15">
        <v>0</v>
      </c>
      <c r="I340" s="17">
        <f>SUM(F340:H340)</f>
        <v>109</v>
      </c>
      <c r="J340" s="15">
        <v>38</v>
      </c>
      <c r="K340" s="15">
        <v>9</v>
      </c>
      <c r="L340" s="15">
        <v>14</v>
      </c>
      <c r="M340" s="15">
        <v>1</v>
      </c>
      <c r="N340" s="15">
        <v>1</v>
      </c>
      <c r="O340" s="15">
        <v>36</v>
      </c>
      <c r="P340" s="15">
        <f>SUM(J340:O340)</f>
        <v>99</v>
      </c>
      <c r="Q340" s="15">
        <v>10</v>
      </c>
      <c r="R340" s="15">
        <v>0</v>
      </c>
      <c r="S340" s="15">
        <v>0</v>
      </c>
      <c r="T340" s="15">
        <v>0</v>
      </c>
      <c r="U340" s="15">
        <v>204</v>
      </c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18.75" customHeight="1">
      <c r="A341" s="32">
        <v>38</v>
      </c>
      <c r="B341" s="115"/>
      <c r="C341" s="20" t="str">
        <f>IF(A341="","VARA",VLOOKUP(A341,'[1]varas'!$A$4:$B$67,2))</f>
        <v>1ª VT Olinda</v>
      </c>
      <c r="D341" s="29"/>
      <c r="E341" s="16"/>
      <c r="F341" s="15">
        <v>9</v>
      </c>
      <c r="G341" s="15">
        <v>0</v>
      </c>
      <c r="H341" s="15">
        <v>0</v>
      </c>
      <c r="I341" s="17">
        <f>SUM(F341:H341)</f>
        <v>9</v>
      </c>
      <c r="J341" s="15">
        <v>5</v>
      </c>
      <c r="K341" s="15">
        <v>0</v>
      </c>
      <c r="L341" s="15">
        <v>0</v>
      </c>
      <c r="M341" s="15">
        <v>0</v>
      </c>
      <c r="N341" s="15">
        <v>0</v>
      </c>
      <c r="O341" s="15">
        <v>4</v>
      </c>
      <c r="P341" s="15">
        <f>SUM(J341:O341)</f>
        <v>9</v>
      </c>
      <c r="Q341" s="15">
        <v>0</v>
      </c>
      <c r="R341" s="15">
        <v>0</v>
      </c>
      <c r="S341" s="15">
        <v>0</v>
      </c>
      <c r="T341" s="15">
        <v>0</v>
      </c>
      <c r="U341" s="15">
        <v>21</v>
      </c>
      <c r="V341" s="18"/>
      <c r="W341" s="18"/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39" customFormat="1" ht="18" customHeight="1">
      <c r="A342" s="32"/>
      <c r="B342" s="121"/>
      <c r="C342" s="21" t="s">
        <v>12</v>
      </c>
      <c r="D342" s="33"/>
      <c r="E342" s="23"/>
      <c r="F342" s="24">
        <f>SUM(F338:F341)</f>
        <v>105</v>
      </c>
      <c r="G342" s="24">
        <f>SUM(G338:G341)</f>
        <v>14</v>
      </c>
      <c r="H342" s="24">
        <f>SUM(H338:H341)</f>
        <v>0</v>
      </c>
      <c r="I342" s="40">
        <f>SUM(F342:H342)</f>
        <v>119</v>
      </c>
      <c r="J342" s="24">
        <f aca="true" t="shared" si="96" ref="J342:O342">SUM(J338:J341)</f>
        <v>43</v>
      </c>
      <c r="K342" s="24">
        <f t="shared" si="96"/>
        <v>9</v>
      </c>
      <c r="L342" s="24">
        <f t="shared" si="96"/>
        <v>14</v>
      </c>
      <c r="M342" s="24">
        <f t="shared" si="96"/>
        <v>1</v>
      </c>
      <c r="N342" s="24">
        <f t="shared" si="96"/>
        <v>1</v>
      </c>
      <c r="O342" s="24">
        <f t="shared" si="96"/>
        <v>41</v>
      </c>
      <c r="P342" s="24">
        <f>SUM(J342:O342)</f>
        <v>109</v>
      </c>
      <c r="Q342" s="24">
        <f>SUM(Q338:Q341)</f>
        <v>10</v>
      </c>
      <c r="R342" s="24">
        <f>SUM(R338:R341)</f>
        <v>0</v>
      </c>
      <c r="S342" s="24">
        <f>SUM(S338:S341)</f>
        <v>0</v>
      </c>
      <c r="T342" s="24">
        <f>SUM(T338:T341)</f>
        <v>0</v>
      </c>
      <c r="U342" s="24">
        <f>SUM(U338:U341)</f>
        <v>226</v>
      </c>
      <c r="V342" s="26">
        <f>IF(I342-Q342=0,"",IF(D342="",(P342+S342)/(I342-Q342),IF(AND(D342&lt;&gt;"",(P342+S342)/(I342-Q342)&gt;=50%),(P342+S342)/(I342-Q342),"")))</f>
        <v>1</v>
      </c>
      <c r="W342" s="26">
        <f>IF(I342=O342,"",IF(V342="",0,(P342+Q342+S342-O342)/(I342-O342)))</f>
        <v>1</v>
      </c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3.25" customHeight="1">
      <c r="A343" s="32"/>
      <c r="B343" s="122" t="s">
        <v>107</v>
      </c>
      <c r="C343" s="20" t="s">
        <v>2</v>
      </c>
      <c r="D343" s="29" t="s">
        <v>232</v>
      </c>
      <c r="E343" s="16" t="s">
        <v>233</v>
      </c>
      <c r="F343" s="15"/>
      <c r="G343" s="15"/>
      <c r="H343" s="15"/>
      <c r="I343" s="17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20.25" customHeight="1">
      <c r="A344" s="32">
        <v>21</v>
      </c>
      <c r="B344" s="122"/>
      <c r="C344" s="20" t="str">
        <f>IF(A344="","VARA",VLOOKUP(A344,'[1]varas'!$A$4:$B$67,2))</f>
        <v>21ª VT Recife</v>
      </c>
      <c r="D344" s="15"/>
      <c r="E344" s="16"/>
      <c r="F344" s="15">
        <v>0</v>
      </c>
      <c r="G344" s="15">
        <v>0</v>
      </c>
      <c r="H344" s="15">
        <v>0</v>
      </c>
      <c r="I344" s="17">
        <f>SUM(F344:H344)</f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f>SUM(J344:O344)</f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8"/>
      <c r="W344" s="18"/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53" customFormat="1" ht="19.5" customHeight="1">
      <c r="A345" s="47"/>
      <c r="B345" s="115"/>
      <c r="C345" s="21" t="s">
        <v>12</v>
      </c>
      <c r="D345" s="51"/>
      <c r="E345" s="52"/>
      <c r="F345" s="24">
        <f>SUM(F343:F344)</f>
        <v>0</v>
      </c>
      <c r="G345" s="24">
        <f>SUM(G343:G344)</f>
        <v>0</v>
      </c>
      <c r="H345" s="24">
        <f>SUM(H343:H344)</f>
        <v>0</v>
      </c>
      <c r="I345" s="25">
        <f>SUM(F345:H345)</f>
        <v>0</v>
      </c>
      <c r="J345" s="24">
        <f aca="true" t="shared" si="97" ref="J345:O345">SUM(J343:J344)</f>
        <v>0</v>
      </c>
      <c r="K345" s="24">
        <f t="shared" si="97"/>
        <v>0</v>
      </c>
      <c r="L345" s="24">
        <f t="shared" si="97"/>
        <v>0</v>
      </c>
      <c r="M345" s="24">
        <f t="shared" si="97"/>
        <v>0</v>
      </c>
      <c r="N345" s="24">
        <f t="shared" si="97"/>
        <v>0</v>
      </c>
      <c r="O345" s="24">
        <f t="shared" si="97"/>
        <v>0</v>
      </c>
      <c r="P345" s="24">
        <f>SUM(J345:O345)</f>
        <v>0</v>
      </c>
      <c r="Q345" s="24">
        <f>SUM(Q343:Q344)</f>
        <v>0</v>
      </c>
      <c r="R345" s="24">
        <f>SUM(R343:R344)</f>
        <v>0</v>
      </c>
      <c r="S345" s="24">
        <f>SUM(S343:S344)</f>
        <v>0</v>
      </c>
      <c r="T345" s="24">
        <f>SUM(T343:T344)</f>
        <v>0</v>
      </c>
      <c r="U345" s="24">
        <f>SUM(U343:U344)</f>
        <v>0</v>
      </c>
      <c r="V345" s="26">
        <f>IF(I345-Q345=0,"",IF(D345="",(P345+S345)/(I345-Q345),IF(AND(D345&lt;&gt;"",(P345+S345)/(I345-Q345)&gt;=50%),(P345+S345)/(I345-Q345),"")))</f>
      </c>
      <c r="W345" s="26">
        <f>IF(I345=O345,"",IF(V345="",0,(P345+Q345+S345-O345)/(I345-O345)))</f>
      </c>
      <c r="X345" s="49"/>
      <c r="Y345" s="49"/>
      <c r="Z345" s="49"/>
      <c r="AA345" s="49"/>
      <c r="AB345" s="50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</row>
    <row r="346" spans="1:41" s="39" customFormat="1" ht="19.5" customHeight="1">
      <c r="A346" s="32"/>
      <c r="B346" s="115" t="s">
        <v>108</v>
      </c>
      <c r="C346" s="14" t="s">
        <v>2</v>
      </c>
      <c r="D346" s="29" t="s">
        <v>30</v>
      </c>
      <c r="E346" s="16" t="s">
        <v>204</v>
      </c>
      <c r="F346" s="15"/>
      <c r="G346" s="15"/>
      <c r="H346" s="15"/>
      <c r="I346" s="17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19.5" customHeight="1">
      <c r="A347" s="32">
        <v>24</v>
      </c>
      <c r="B347" s="115"/>
      <c r="C347" s="20" t="str">
        <f>IF(A347="","VARA",VLOOKUP(A347,'[1]varas'!$A$4:$B$67,2))</f>
        <v>1ª VT Barreiros</v>
      </c>
      <c r="D347" s="29"/>
      <c r="E347" s="16"/>
      <c r="F347" s="15">
        <v>0</v>
      </c>
      <c r="G347" s="15">
        <v>27</v>
      </c>
      <c r="H347" s="15">
        <v>6</v>
      </c>
      <c r="I347" s="17">
        <f>SUM(F347:H347)</f>
        <v>33</v>
      </c>
      <c r="J347" s="15">
        <v>6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f>SUM(J347:O347)</f>
        <v>6</v>
      </c>
      <c r="Q347" s="15">
        <v>27</v>
      </c>
      <c r="R347" s="15">
        <v>0</v>
      </c>
      <c r="S347" s="15">
        <v>0</v>
      </c>
      <c r="T347" s="15">
        <v>0</v>
      </c>
      <c r="U347" s="15">
        <v>0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39" customFormat="1" ht="18.75" customHeight="1">
      <c r="A348" s="32"/>
      <c r="B348" s="115"/>
      <c r="C348" s="21" t="s">
        <v>12</v>
      </c>
      <c r="D348" s="33"/>
      <c r="E348" s="23"/>
      <c r="F348" s="24">
        <f>SUM(F346:F347)</f>
        <v>0</v>
      </c>
      <c r="G348" s="24">
        <f>SUM(G346:G347)</f>
        <v>27</v>
      </c>
      <c r="H348" s="24">
        <f>SUM(H346:H347)</f>
        <v>6</v>
      </c>
      <c r="I348" s="40">
        <f>SUM(F348:H348)</f>
        <v>33</v>
      </c>
      <c r="J348" s="24">
        <f aca="true" t="shared" si="98" ref="J348:O348">SUM(J346:J347)</f>
        <v>6</v>
      </c>
      <c r="K348" s="24">
        <f t="shared" si="98"/>
        <v>0</v>
      </c>
      <c r="L348" s="24">
        <f t="shared" si="98"/>
        <v>0</v>
      </c>
      <c r="M348" s="24">
        <f t="shared" si="98"/>
        <v>0</v>
      </c>
      <c r="N348" s="24">
        <f t="shared" si="98"/>
        <v>0</v>
      </c>
      <c r="O348" s="24">
        <f t="shared" si="98"/>
        <v>0</v>
      </c>
      <c r="P348" s="24">
        <f>SUM(J348:O348)</f>
        <v>6</v>
      </c>
      <c r="Q348" s="24">
        <f>SUM(Q346:Q347)</f>
        <v>27</v>
      </c>
      <c r="R348" s="24">
        <f>SUM(R346:R347)</f>
        <v>0</v>
      </c>
      <c r="S348" s="24">
        <f>SUM(S346:S347)</f>
        <v>0</v>
      </c>
      <c r="T348" s="24">
        <f>SUM(T346:T347)</f>
        <v>0</v>
      </c>
      <c r="U348" s="24">
        <f>SUM(U346:U347)</f>
        <v>0</v>
      </c>
      <c r="V348" s="26">
        <f>IF(I348-Q348=0,"",IF(D348="",(P348+S348)/(I348-Q348),IF(AND(D348&lt;&gt;"",(P348+S348)/(I348-Q348)&gt;=50%),(P348+S348)/(I348-Q348),"")))</f>
        <v>1</v>
      </c>
      <c r="W348" s="26">
        <f>IF(I348=O348,"",IF(V348="",0,(P348+Q348+S348-O348)/(I348-O348)))</f>
        <v>1</v>
      </c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39" customFormat="1" ht="21.75" customHeight="1">
      <c r="A349" s="32"/>
      <c r="B349" s="115" t="s">
        <v>109</v>
      </c>
      <c r="C349" s="14" t="s">
        <v>2</v>
      </c>
      <c r="D349" s="29"/>
      <c r="E349" s="16" t="s">
        <v>27</v>
      </c>
      <c r="F349" s="15"/>
      <c r="G349" s="15"/>
      <c r="H349" s="15"/>
      <c r="I349" s="17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17.25" customHeight="1">
      <c r="A350" s="32">
        <v>16</v>
      </c>
      <c r="B350" s="115"/>
      <c r="C350" s="20" t="str">
        <f>IF(A350="","VARA",VLOOKUP(A350,'[1]varas'!$A$4:$B$67,2))</f>
        <v>16ª VT Recife</v>
      </c>
      <c r="D350" s="15"/>
      <c r="E350" s="16"/>
      <c r="F350" s="15">
        <f>46+37+5+5</f>
        <v>93</v>
      </c>
      <c r="G350" s="15">
        <v>23</v>
      </c>
      <c r="H350" s="15">
        <v>23</v>
      </c>
      <c r="I350" s="17">
        <f>SUM(F350:H350)</f>
        <v>139</v>
      </c>
      <c r="J350" s="15">
        <v>35</v>
      </c>
      <c r="K350" s="15">
        <v>8</v>
      </c>
      <c r="L350" s="15">
        <v>5</v>
      </c>
      <c r="M350" s="15">
        <v>5</v>
      </c>
      <c r="N350" s="15">
        <v>0</v>
      </c>
      <c r="O350" s="15">
        <v>37</v>
      </c>
      <c r="P350" s="15">
        <f>SUM(J350:O350)</f>
        <v>90</v>
      </c>
      <c r="Q350" s="15">
        <v>14</v>
      </c>
      <c r="R350" s="15">
        <v>32</v>
      </c>
      <c r="S350" s="15">
        <v>0</v>
      </c>
      <c r="T350" s="15">
        <v>3</v>
      </c>
      <c r="U350" s="15">
        <v>166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53" customFormat="1" ht="19.5" customHeight="1">
      <c r="A351" s="47"/>
      <c r="B351" s="115"/>
      <c r="C351" s="21" t="s">
        <v>12</v>
      </c>
      <c r="D351" s="51"/>
      <c r="E351" s="52"/>
      <c r="F351" s="24">
        <f>SUM(F349:F350)</f>
        <v>93</v>
      </c>
      <c r="G351" s="24">
        <f>SUM(G349:G350)</f>
        <v>23</v>
      </c>
      <c r="H351" s="24">
        <f>SUM(H349:H350)</f>
        <v>23</v>
      </c>
      <c r="I351" s="25">
        <f>SUM(F351:H351)</f>
        <v>139</v>
      </c>
      <c r="J351" s="24">
        <f aca="true" t="shared" si="99" ref="J351:O351">SUM(J349:J350)</f>
        <v>35</v>
      </c>
      <c r="K351" s="24">
        <f t="shared" si="99"/>
        <v>8</v>
      </c>
      <c r="L351" s="24">
        <f t="shared" si="99"/>
        <v>5</v>
      </c>
      <c r="M351" s="24">
        <f t="shared" si="99"/>
        <v>5</v>
      </c>
      <c r="N351" s="24">
        <f t="shared" si="99"/>
        <v>0</v>
      </c>
      <c r="O351" s="24">
        <f t="shared" si="99"/>
        <v>37</v>
      </c>
      <c r="P351" s="24">
        <f>SUM(J351:O351)</f>
        <v>90</v>
      </c>
      <c r="Q351" s="24">
        <f>SUM(Q349:Q350)</f>
        <v>14</v>
      </c>
      <c r="R351" s="24">
        <f>SUM(R349:R350)</f>
        <v>32</v>
      </c>
      <c r="S351" s="24">
        <f>SUM(S349:S350)</f>
        <v>0</v>
      </c>
      <c r="T351" s="24">
        <f>SUM(T349:T350)</f>
        <v>3</v>
      </c>
      <c r="U351" s="24">
        <f>SUM(U349:U350)</f>
        <v>166</v>
      </c>
      <c r="V351" s="26">
        <f>IF(I351-Q351=0,"",IF(D351="",(P351+S351)/(I351-Q351),IF(AND(D351&lt;&gt;"",(P351+S351)/(I351-Q351)&gt;=50%),(P351+S351)/(I351-Q351),"")))</f>
        <v>0.72</v>
      </c>
      <c r="W351" s="26">
        <f>IF(I351=O351,"",IF(V351="",0,(P351+Q351+S351-O351)/(I351-O351)))</f>
        <v>0.6568627450980392</v>
      </c>
      <c r="X351" s="49"/>
      <c r="Y351" s="49"/>
      <c r="Z351" s="49"/>
      <c r="AA351" s="49"/>
      <c r="AB351" s="50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</row>
    <row r="352" spans="1:41" s="39" customFormat="1" ht="24" customHeight="1">
      <c r="A352" s="32"/>
      <c r="B352" s="115" t="s">
        <v>110</v>
      </c>
      <c r="C352" s="14" t="s">
        <v>2</v>
      </c>
      <c r="D352" s="29"/>
      <c r="E352" s="16" t="s">
        <v>27</v>
      </c>
      <c r="F352" s="15"/>
      <c r="G352" s="15"/>
      <c r="H352" s="15"/>
      <c r="I352" s="17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8"/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39" customFormat="1" ht="18" customHeight="1">
      <c r="A353" s="32">
        <v>52</v>
      </c>
      <c r="B353" s="115"/>
      <c r="C353" s="20" t="str">
        <f>IF(A353="","VARA",VLOOKUP(A353,'[1]varas'!$A$4:$B$67,2))</f>
        <v>VT Limoeiro</v>
      </c>
      <c r="D353" s="15"/>
      <c r="E353" s="16"/>
      <c r="F353" s="15">
        <f>13+35+2+1</f>
        <v>51</v>
      </c>
      <c r="G353" s="15">
        <v>0</v>
      </c>
      <c r="H353" s="15">
        <v>0</v>
      </c>
      <c r="I353" s="17">
        <f>SUM(F353:H353)</f>
        <v>51</v>
      </c>
      <c r="J353" s="15">
        <v>9</v>
      </c>
      <c r="K353" s="15">
        <v>4</v>
      </c>
      <c r="L353" s="15">
        <v>2</v>
      </c>
      <c r="M353" s="15">
        <v>1</v>
      </c>
      <c r="N353" s="15">
        <v>0</v>
      </c>
      <c r="O353" s="15">
        <v>35</v>
      </c>
      <c r="P353" s="15">
        <f>SUM(J353:O353)</f>
        <v>51</v>
      </c>
      <c r="Q353" s="15">
        <v>0</v>
      </c>
      <c r="R353" s="15">
        <v>0</v>
      </c>
      <c r="S353" s="15">
        <v>0</v>
      </c>
      <c r="T353" s="15">
        <v>0</v>
      </c>
      <c r="U353" s="15">
        <v>74</v>
      </c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18.75" customHeight="1">
      <c r="A354" s="32">
        <v>64</v>
      </c>
      <c r="B354" s="115"/>
      <c r="C354" s="20" t="str">
        <f>IF(A354="","VARA",VLOOKUP(A354,'[1]varas'!$A$4:$B$67,2))</f>
        <v>PAJT Surubim</v>
      </c>
      <c r="D354" s="15"/>
      <c r="E354" s="16"/>
      <c r="F354" s="15">
        <f>6+12</f>
        <v>18</v>
      </c>
      <c r="G354" s="15">
        <v>3</v>
      </c>
      <c r="H354" s="15">
        <v>0</v>
      </c>
      <c r="I354" s="17">
        <f>SUM(F354:H354)</f>
        <v>21</v>
      </c>
      <c r="J354" s="15">
        <v>3</v>
      </c>
      <c r="K354" s="15">
        <v>3</v>
      </c>
      <c r="L354" s="15">
        <v>3</v>
      </c>
      <c r="M354" s="15">
        <v>0</v>
      </c>
      <c r="N354" s="15">
        <v>0</v>
      </c>
      <c r="O354" s="15">
        <v>12</v>
      </c>
      <c r="P354" s="15">
        <f>SUM(J354:O354)</f>
        <v>21</v>
      </c>
      <c r="Q354" s="15">
        <v>0</v>
      </c>
      <c r="R354" s="15">
        <v>0</v>
      </c>
      <c r="S354" s="15">
        <v>0</v>
      </c>
      <c r="T354" s="15">
        <v>0</v>
      </c>
      <c r="U354" s="15">
        <v>76</v>
      </c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53" customFormat="1" ht="17.25" customHeight="1">
      <c r="A355" s="47"/>
      <c r="B355" s="115"/>
      <c r="C355" s="21" t="s">
        <v>12</v>
      </c>
      <c r="D355" s="51"/>
      <c r="E355" s="52"/>
      <c r="F355" s="24">
        <f>SUM(F352:F354)</f>
        <v>69</v>
      </c>
      <c r="G355" s="24">
        <f>SUM(G352:G354)</f>
        <v>3</v>
      </c>
      <c r="H355" s="24">
        <f>SUM(H352:H354)</f>
        <v>0</v>
      </c>
      <c r="I355" s="25">
        <f>SUM(F355:H355)</f>
        <v>72</v>
      </c>
      <c r="J355" s="24">
        <f aca="true" t="shared" si="100" ref="J355:O355">SUM(J352:J354)</f>
        <v>12</v>
      </c>
      <c r="K355" s="24">
        <f t="shared" si="100"/>
        <v>7</v>
      </c>
      <c r="L355" s="24">
        <f t="shared" si="100"/>
        <v>5</v>
      </c>
      <c r="M355" s="24">
        <f t="shared" si="100"/>
        <v>1</v>
      </c>
      <c r="N355" s="24">
        <f t="shared" si="100"/>
        <v>0</v>
      </c>
      <c r="O355" s="24">
        <f t="shared" si="100"/>
        <v>47</v>
      </c>
      <c r="P355" s="24">
        <f>SUM(J355:O355)</f>
        <v>72</v>
      </c>
      <c r="Q355" s="24">
        <f>SUM(Q352:Q354)</f>
        <v>0</v>
      </c>
      <c r="R355" s="24">
        <f>SUM(R352:R354)</f>
        <v>0</v>
      </c>
      <c r="S355" s="24">
        <f>SUM(S352:S354)</f>
        <v>0</v>
      </c>
      <c r="T355" s="24">
        <f>SUM(T352:T354)</f>
        <v>0</v>
      </c>
      <c r="U355" s="24">
        <f>SUM(U352:U354)</f>
        <v>150</v>
      </c>
      <c r="V355" s="26">
        <f>IF(I355-Q355=0,"",IF(D355="",(P355+S355)/(I355-Q355),IF(AND(D355&lt;&gt;"",(P355+S355)/(I355-Q355)&gt;=50%),(P355+S355)/(I355-Q355),"")))</f>
        <v>1</v>
      </c>
      <c r="W355" s="26">
        <f>IF(I355=O355,"",IF(V355="",0,(P355+Q355+S355-O355)/(I355-O355)))</f>
        <v>1</v>
      </c>
      <c r="X355" s="49"/>
      <c r="Y355" s="49"/>
      <c r="Z355" s="49"/>
      <c r="AA355" s="49"/>
      <c r="AB355" s="50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</row>
    <row r="356" spans="1:41" s="39" customFormat="1" ht="22.5" customHeight="1">
      <c r="A356" s="32"/>
      <c r="B356" s="115" t="s">
        <v>111</v>
      </c>
      <c r="C356" s="14" t="s">
        <v>161</v>
      </c>
      <c r="D356" s="29" t="s">
        <v>43</v>
      </c>
      <c r="E356" s="16" t="s">
        <v>234</v>
      </c>
      <c r="F356" s="15"/>
      <c r="G356" s="15"/>
      <c r="H356" s="15"/>
      <c r="I356" s="17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8"/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18" customHeight="1">
      <c r="A357" s="32">
        <v>50</v>
      </c>
      <c r="B357" s="115"/>
      <c r="C357" s="20" t="str">
        <f>IF(A357="","VARA",VLOOKUP(A357,'[1]varas'!$A$4:$B$67,2))</f>
        <v>VT Garanhuns</v>
      </c>
      <c r="D357" s="29"/>
      <c r="E357" s="16"/>
      <c r="F357" s="15">
        <f>18+61+7+4</f>
        <v>90</v>
      </c>
      <c r="G357" s="15">
        <v>25</v>
      </c>
      <c r="H357" s="15">
        <v>0</v>
      </c>
      <c r="I357" s="17">
        <f>SUM(F357:H357)</f>
        <v>115</v>
      </c>
      <c r="J357" s="15">
        <v>28</v>
      </c>
      <c r="K357" s="15">
        <v>3</v>
      </c>
      <c r="L357" s="15">
        <v>7</v>
      </c>
      <c r="M357" s="15">
        <v>4</v>
      </c>
      <c r="N357" s="15">
        <v>0</v>
      </c>
      <c r="O357" s="15">
        <v>61</v>
      </c>
      <c r="P357" s="15">
        <f>SUM(J357:O357)</f>
        <v>103</v>
      </c>
      <c r="Q357" s="15">
        <v>12</v>
      </c>
      <c r="R357" s="15">
        <v>0</v>
      </c>
      <c r="S357" s="15">
        <v>0</v>
      </c>
      <c r="T357" s="15">
        <v>0</v>
      </c>
      <c r="U357" s="15">
        <v>215</v>
      </c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39" customFormat="1" ht="18" customHeight="1">
      <c r="A358" s="32"/>
      <c r="B358" s="115"/>
      <c r="C358" s="21" t="s">
        <v>12</v>
      </c>
      <c r="D358" s="33"/>
      <c r="E358" s="23"/>
      <c r="F358" s="24">
        <f>SUM(F356:F357)</f>
        <v>90</v>
      </c>
      <c r="G358" s="24">
        <f>SUM(G356:G357)</f>
        <v>25</v>
      </c>
      <c r="H358" s="24">
        <f>SUM(H356:H357)</f>
        <v>0</v>
      </c>
      <c r="I358" s="40">
        <f>SUM(F358:H358)</f>
        <v>115</v>
      </c>
      <c r="J358" s="24">
        <f aca="true" t="shared" si="101" ref="J358:O358">SUM(J356:J357)</f>
        <v>28</v>
      </c>
      <c r="K358" s="24">
        <f t="shared" si="101"/>
        <v>3</v>
      </c>
      <c r="L358" s="24">
        <f t="shared" si="101"/>
        <v>7</v>
      </c>
      <c r="M358" s="24">
        <f t="shared" si="101"/>
        <v>4</v>
      </c>
      <c r="N358" s="24">
        <f t="shared" si="101"/>
        <v>0</v>
      </c>
      <c r="O358" s="24">
        <f t="shared" si="101"/>
        <v>61</v>
      </c>
      <c r="P358" s="24">
        <f>SUM(J358:O358)</f>
        <v>103</v>
      </c>
      <c r="Q358" s="24">
        <f>SUM(Q356:Q357)</f>
        <v>12</v>
      </c>
      <c r="R358" s="24">
        <f>SUM(R356:R357)</f>
        <v>0</v>
      </c>
      <c r="S358" s="24">
        <f>SUM(S356:S357)</f>
        <v>0</v>
      </c>
      <c r="T358" s="24">
        <f>SUM(T356:T357)</f>
        <v>0</v>
      </c>
      <c r="U358" s="24">
        <f>SUM(U356:U357)</f>
        <v>215</v>
      </c>
      <c r="V358" s="26">
        <f>IF(I358-Q358=0,"",IF(D358="",(P358+S358)/(I358-Q358),IF(AND(D358&lt;&gt;"",(P358+S358)/(I358-Q358)&gt;=50%),(P358+S358)/(I358-Q358),"")))</f>
        <v>1</v>
      </c>
      <c r="W358" s="26">
        <f>IF(I358=O358,"",IF(V358="",0,(P358+Q358+S358-O358)/(I358-O358)))</f>
        <v>1</v>
      </c>
      <c r="X358" s="30"/>
      <c r="Y358" s="30"/>
      <c r="Z358" s="30"/>
      <c r="AA358" s="30"/>
      <c r="AB358" s="34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</row>
    <row r="359" spans="1:41" s="39" customFormat="1" ht="20.25" customHeight="1">
      <c r="A359" s="32"/>
      <c r="B359" s="115" t="s">
        <v>112</v>
      </c>
      <c r="C359" s="14" t="s">
        <v>158</v>
      </c>
      <c r="D359" s="29"/>
      <c r="E359" s="16" t="s">
        <v>27</v>
      </c>
      <c r="F359" s="15"/>
      <c r="G359" s="15"/>
      <c r="H359" s="15"/>
      <c r="I359" s="17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8"/>
      <c r="X359" s="30"/>
      <c r="Y359" s="30"/>
      <c r="Z359" s="30"/>
      <c r="AA359" s="30"/>
      <c r="AB359" s="34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</row>
    <row r="360" spans="1:41" s="39" customFormat="1" ht="17.25" customHeight="1">
      <c r="A360" s="32">
        <v>6</v>
      </c>
      <c r="B360" s="115"/>
      <c r="C360" s="20" t="str">
        <f>IF(A360="","VARA",VLOOKUP(A360,'[1]varas'!$A$4:$B$67,2))</f>
        <v>6ª VT Recife</v>
      </c>
      <c r="D360" s="15"/>
      <c r="E360" s="16"/>
      <c r="F360" s="15">
        <v>0</v>
      </c>
      <c r="G360" s="15">
        <v>0</v>
      </c>
      <c r="H360" s="15">
        <v>2</v>
      </c>
      <c r="I360" s="17">
        <f>SUM(F360:H360)</f>
        <v>2</v>
      </c>
      <c r="J360" s="15">
        <v>2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f>SUM(J360:O360)</f>
        <v>2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39" customFormat="1" ht="17.25" customHeight="1">
      <c r="A361" s="32">
        <v>21</v>
      </c>
      <c r="B361" s="115"/>
      <c r="C361" s="20" t="str">
        <f>IF(A361="","VARA",VLOOKUP(A361,'[1]varas'!$A$4:$B$67,2))</f>
        <v>21ª VT Recife</v>
      </c>
      <c r="D361" s="15"/>
      <c r="E361" s="16"/>
      <c r="F361" s="15">
        <v>3</v>
      </c>
      <c r="G361" s="15">
        <v>0</v>
      </c>
      <c r="H361" s="15">
        <v>0</v>
      </c>
      <c r="I361" s="17">
        <f>SUM(F361:H361)</f>
        <v>3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3</v>
      </c>
      <c r="P361" s="15">
        <f>SUM(J361:O361)</f>
        <v>3</v>
      </c>
      <c r="Q361" s="15">
        <v>0</v>
      </c>
      <c r="R361" s="15">
        <v>0</v>
      </c>
      <c r="S361" s="15">
        <v>0</v>
      </c>
      <c r="T361" s="15">
        <v>0</v>
      </c>
      <c r="U361" s="15">
        <v>3</v>
      </c>
      <c r="V361" s="18"/>
      <c r="W361" s="18"/>
      <c r="X361" s="30"/>
      <c r="Y361" s="30"/>
      <c r="Z361" s="30"/>
      <c r="AA361" s="30"/>
      <c r="AB361" s="34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</row>
    <row r="362" spans="1:41" s="39" customFormat="1" ht="19.5" customHeight="1">
      <c r="A362" s="32">
        <v>22</v>
      </c>
      <c r="B362" s="115"/>
      <c r="C362" s="20" t="str">
        <f>IF(A362="","VARA",VLOOKUP(A362,'[1]varas'!$A$4:$B$67,2))</f>
        <v>22ª VT Recife</v>
      </c>
      <c r="D362" s="15"/>
      <c r="E362" s="16"/>
      <c r="F362" s="15">
        <f>53+51+18+13</f>
        <v>135</v>
      </c>
      <c r="G362" s="15">
        <v>13</v>
      </c>
      <c r="H362" s="15">
        <v>15</v>
      </c>
      <c r="I362" s="17">
        <f>SUM(F362:H362)</f>
        <v>163</v>
      </c>
      <c r="J362" s="15">
        <v>32</v>
      </c>
      <c r="K362" s="15">
        <v>14</v>
      </c>
      <c r="L362" s="15">
        <v>18</v>
      </c>
      <c r="M362" s="15">
        <v>12</v>
      </c>
      <c r="N362" s="15">
        <v>1</v>
      </c>
      <c r="O362" s="15">
        <v>51</v>
      </c>
      <c r="P362" s="15">
        <f>SUM(J362:O362)</f>
        <v>128</v>
      </c>
      <c r="Q362" s="15">
        <v>13</v>
      </c>
      <c r="R362" s="15">
        <v>22</v>
      </c>
      <c r="S362" s="15">
        <v>0</v>
      </c>
      <c r="T362" s="15">
        <v>0</v>
      </c>
      <c r="U362" s="15">
        <v>171</v>
      </c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53" customFormat="1" ht="17.25" customHeight="1">
      <c r="A363" s="47"/>
      <c r="B363" s="115"/>
      <c r="C363" s="20" t="s">
        <v>12</v>
      </c>
      <c r="D363" s="24"/>
      <c r="E363" s="48"/>
      <c r="F363" s="24">
        <f>SUM(F359:F362)</f>
        <v>138</v>
      </c>
      <c r="G363" s="24">
        <f>SUM(G359:G362)</f>
        <v>13</v>
      </c>
      <c r="H363" s="24">
        <f>SUM(H359:H362)</f>
        <v>17</v>
      </c>
      <c r="I363" s="40">
        <f>SUM(F363:H363)</f>
        <v>168</v>
      </c>
      <c r="J363" s="24">
        <f aca="true" t="shared" si="102" ref="J363:O363">SUM(J359:J362)</f>
        <v>34</v>
      </c>
      <c r="K363" s="24">
        <f t="shared" si="102"/>
        <v>14</v>
      </c>
      <c r="L363" s="24">
        <f t="shared" si="102"/>
        <v>18</v>
      </c>
      <c r="M363" s="24">
        <f t="shared" si="102"/>
        <v>12</v>
      </c>
      <c r="N363" s="24">
        <f t="shared" si="102"/>
        <v>1</v>
      </c>
      <c r="O363" s="24">
        <f t="shared" si="102"/>
        <v>54</v>
      </c>
      <c r="P363" s="24">
        <f>SUM(J363:O363)</f>
        <v>133</v>
      </c>
      <c r="Q363" s="24">
        <f>SUM(Q359:Q362)</f>
        <v>13</v>
      </c>
      <c r="R363" s="24">
        <f>SUM(R359:R362)</f>
        <v>22</v>
      </c>
      <c r="S363" s="24">
        <f>SUM(S359:S362)</f>
        <v>0</v>
      </c>
      <c r="T363" s="24">
        <f>SUM(T359:T362)</f>
        <v>0</v>
      </c>
      <c r="U363" s="24">
        <f>SUM(U359:U362)</f>
        <v>174</v>
      </c>
      <c r="V363" s="26">
        <f>IF(I363-Q363=0,"",IF(D363="",(P363+S363)/(I363-Q363),IF(AND(D363&lt;&gt;"",(P363+S363)/(I363-Q363)&gt;=50%),(P363+S363)/(I363-Q363),"")))</f>
        <v>0.8580645161290322</v>
      </c>
      <c r="W363" s="26">
        <f>IF(I363=O363,"",IF(V363="",0,(P363+Q363+S363-O363)/(I363-O363)))</f>
        <v>0.8070175438596491</v>
      </c>
      <c r="X363" s="49"/>
      <c r="Y363" s="49"/>
      <c r="Z363" s="49"/>
      <c r="AA363" s="49"/>
      <c r="AB363" s="50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</row>
    <row r="364" spans="1:41" s="39" customFormat="1" ht="26.25" customHeight="1">
      <c r="A364" s="32"/>
      <c r="B364" s="115" t="s">
        <v>113</v>
      </c>
      <c r="C364" s="14" t="s">
        <v>2</v>
      </c>
      <c r="D364" s="29" t="s">
        <v>30</v>
      </c>
      <c r="E364" s="16" t="s">
        <v>204</v>
      </c>
      <c r="F364" s="15"/>
      <c r="G364" s="15"/>
      <c r="H364" s="15"/>
      <c r="I364" s="17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39" customFormat="1" ht="23.25" customHeight="1">
      <c r="A365" s="32">
        <v>1</v>
      </c>
      <c r="B365" s="115"/>
      <c r="C365" s="20" t="str">
        <f>IF(A365="","VARA",VLOOKUP(A365,'[1]varas'!$A$4:$B$67,2))</f>
        <v>1ª VT Recife</v>
      </c>
      <c r="D365" s="29"/>
      <c r="E365" s="16"/>
      <c r="F365" s="15">
        <v>0</v>
      </c>
      <c r="G365" s="15">
        <v>5</v>
      </c>
      <c r="H365" s="15">
        <v>0</v>
      </c>
      <c r="I365" s="17">
        <f>SUM(F365:H365)</f>
        <v>5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f>SUM(J365:O365)</f>
        <v>0</v>
      </c>
      <c r="Q365" s="15">
        <v>5</v>
      </c>
      <c r="R365" s="15">
        <v>0</v>
      </c>
      <c r="S365" s="15">
        <v>0</v>
      </c>
      <c r="T365" s="15">
        <v>0</v>
      </c>
      <c r="U365" s="15">
        <v>0</v>
      </c>
      <c r="V365" s="18"/>
      <c r="W365" s="18"/>
      <c r="X365" s="30"/>
      <c r="Y365" s="30"/>
      <c r="Z365" s="30"/>
      <c r="AA365" s="30"/>
      <c r="AB365" s="34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</row>
    <row r="366" spans="1:41" s="53" customFormat="1" ht="20.25" customHeight="1">
      <c r="A366" s="47"/>
      <c r="B366" s="115"/>
      <c r="C366" s="20" t="s">
        <v>12</v>
      </c>
      <c r="D366" s="24"/>
      <c r="E366" s="48"/>
      <c r="F366" s="24">
        <f>SUM(F364:F365)</f>
        <v>0</v>
      </c>
      <c r="G366" s="24">
        <f>SUM(G364:G365)</f>
        <v>5</v>
      </c>
      <c r="H366" s="24">
        <f>SUM(H364:H365)</f>
        <v>0</v>
      </c>
      <c r="I366" s="40">
        <f>SUM(F366:H366)</f>
        <v>5</v>
      </c>
      <c r="J366" s="24">
        <f aca="true" t="shared" si="103" ref="J366:O366">SUM(J364:J365)</f>
        <v>0</v>
      </c>
      <c r="K366" s="24">
        <f t="shared" si="103"/>
        <v>0</v>
      </c>
      <c r="L366" s="24">
        <f t="shared" si="103"/>
        <v>0</v>
      </c>
      <c r="M366" s="24">
        <f t="shared" si="103"/>
        <v>0</v>
      </c>
      <c r="N366" s="24">
        <f t="shared" si="103"/>
        <v>0</v>
      </c>
      <c r="O366" s="24">
        <f t="shared" si="103"/>
        <v>0</v>
      </c>
      <c r="P366" s="24">
        <f>SUM(J366:O366)</f>
        <v>0</v>
      </c>
      <c r="Q366" s="24">
        <f>SUM(Q364:Q365)</f>
        <v>5</v>
      </c>
      <c r="R366" s="24">
        <f>SUM(R364:R365)</f>
        <v>0</v>
      </c>
      <c r="S366" s="24">
        <f>SUM(S364:S365)</f>
        <v>0</v>
      </c>
      <c r="T366" s="24">
        <f>SUM(T364:T365)</f>
        <v>0</v>
      </c>
      <c r="U366" s="24">
        <f>SUM(U364:U365)</f>
        <v>0</v>
      </c>
      <c r="V366" s="26">
        <f>IF(I366-Q366=0,"",IF(D366="",(P366+S366)/(I366-Q366),IF(AND(D366&lt;&gt;"",(P366+S366)/(I366-Q366)&gt;=50%),(P366+S366)/(I366-Q366),"")))</f>
      </c>
      <c r="W366" s="26">
        <f>IF(I366=O366,"",IF(V366="",0,(P366+Q366+S366-O366)/(I366-O366)))</f>
        <v>0</v>
      </c>
      <c r="X366" s="49"/>
      <c r="Y366" s="49"/>
      <c r="Z366" s="49"/>
      <c r="AA366" s="49"/>
      <c r="AB366" s="50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</row>
    <row r="367" spans="1:41" s="39" customFormat="1" ht="23.25" customHeight="1">
      <c r="A367" s="32"/>
      <c r="B367" s="115" t="s">
        <v>114</v>
      </c>
      <c r="C367" s="14" t="s">
        <v>161</v>
      </c>
      <c r="D367" s="29" t="s">
        <v>30</v>
      </c>
      <c r="E367" s="16" t="s">
        <v>204</v>
      </c>
      <c r="F367" s="15"/>
      <c r="G367" s="15"/>
      <c r="H367" s="15"/>
      <c r="I367" s="17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39" customFormat="1" ht="20.25" customHeight="1">
      <c r="A368" s="32">
        <v>2</v>
      </c>
      <c r="B368" s="115"/>
      <c r="C368" s="20" t="str">
        <f>IF(A368="","VARA",VLOOKUP(A368,'[1]varas'!$A$4:$B$67,2))</f>
        <v>2ª VT Recife</v>
      </c>
      <c r="D368" s="29"/>
      <c r="E368" s="16"/>
      <c r="F368" s="15">
        <v>0</v>
      </c>
      <c r="G368" s="15">
        <v>13</v>
      </c>
      <c r="H368" s="15">
        <v>0</v>
      </c>
      <c r="I368" s="17">
        <f>SUM(F368:H368)</f>
        <v>13</v>
      </c>
      <c r="J368" s="15">
        <v>7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f>SUM(J368:O368)</f>
        <v>7</v>
      </c>
      <c r="Q368" s="15">
        <v>6</v>
      </c>
      <c r="R368" s="15">
        <v>0</v>
      </c>
      <c r="S368" s="15">
        <v>0</v>
      </c>
      <c r="T368" s="15">
        <v>0</v>
      </c>
      <c r="U368" s="15">
        <v>0</v>
      </c>
      <c r="V368" s="18"/>
      <c r="W368" s="18"/>
      <c r="X368" s="30"/>
      <c r="Y368" s="30"/>
      <c r="Z368" s="30"/>
      <c r="AA368" s="30"/>
      <c r="AB368" s="34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</row>
    <row r="369" spans="1:41" s="53" customFormat="1" ht="18.75" customHeight="1">
      <c r="A369" s="47"/>
      <c r="B369" s="115"/>
      <c r="C369" s="20" t="s">
        <v>12</v>
      </c>
      <c r="D369" s="24"/>
      <c r="E369" s="48"/>
      <c r="F369" s="24">
        <f>SUM(F367:F368)</f>
        <v>0</v>
      </c>
      <c r="G369" s="24">
        <f>SUM(G367:G368)</f>
        <v>13</v>
      </c>
      <c r="H369" s="24">
        <f>SUM(H367:H368)</f>
        <v>0</v>
      </c>
      <c r="I369" s="40">
        <f>SUM(F369:H369)</f>
        <v>13</v>
      </c>
      <c r="J369" s="24">
        <f aca="true" t="shared" si="104" ref="J369:O369">SUM(J367:J368)</f>
        <v>7</v>
      </c>
      <c r="K369" s="24">
        <f t="shared" si="104"/>
        <v>0</v>
      </c>
      <c r="L369" s="24">
        <f t="shared" si="104"/>
        <v>0</v>
      </c>
      <c r="M369" s="24">
        <f t="shared" si="104"/>
        <v>0</v>
      </c>
      <c r="N369" s="24">
        <f t="shared" si="104"/>
        <v>0</v>
      </c>
      <c r="O369" s="24">
        <f t="shared" si="104"/>
        <v>0</v>
      </c>
      <c r="P369" s="24">
        <f>SUM(J369:O369)</f>
        <v>7</v>
      </c>
      <c r="Q369" s="24">
        <f>SUM(Q367:Q368)</f>
        <v>6</v>
      </c>
      <c r="R369" s="24">
        <f>SUM(R367:R368)</f>
        <v>0</v>
      </c>
      <c r="S369" s="24">
        <f>SUM(S367:S368)</f>
        <v>0</v>
      </c>
      <c r="T369" s="24">
        <f>SUM(T367:T368)</f>
        <v>0</v>
      </c>
      <c r="U369" s="24">
        <f>SUM(U367:U368)</f>
        <v>0</v>
      </c>
      <c r="V369" s="26">
        <f>IF(I369-Q369=0,"",IF(D369="",(P369+S369)/(I369-Q369),IF(AND(D369&lt;&gt;"",(P369+S369)/(I369-Q369)&gt;=50%),(P369+S369)/(I369-Q369),"")))</f>
        <v>1</v>
      </c>
      <c r="W369" s="26">
        <f>IF(I369=O369,"",IF(V369="",0,(P369+Q369+S369-O369)/(I369-O369)))</f>
        <v>1</v>
      </c>
      <c r="X369" s="49"/>
      <c r="Y369" s="49"/>
      <c r="Z369" s="49"/>
      <c r="AA369" s="49"/>
      <c r="AB369" s="50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</row>
    <row r="370" spans="1:41" s="39" customFormat="1" ht="20.25" customHeight="1">
      <c r="A370" s="32"/>
      <c r="B370" s="115" t="s">
        <v>115</v>
      </c>
      <c r="C370" s="14" t="s">
        <v>180</v>
      </c>
      <c r="D370" s="29"/>
      <c r="E370" s="16" t="s">
        <v>27</v>
      </c>
      <c r="F370" s="15"/>
      <c r="G370" s="15"/>
      <c r="H370" s="15"/>
      <c r="I370" s="17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39" customFormat="1" ht="18" customHeight="1">
      <c r="A371" s="32">
        <v>56</v>
      </c>
      <c r="B371" s="115"/>
      <c r="C371" s="20" t="str">
        <f>IF(A371="","VARA",VLOOKUP(A371,'[1]varas'!$A$4:$B$67,2))</f>
        <v>1ª VT Ribeirão</v>
      </c>
      <c r="D371" s="15"/>
      <c r="E371" s="16"/>
      <c r="F371" s="15">
        <f>51+53</f>
        <v>104</v>
      </c>
      <c r="G371" s="15">
        <v>0</v>
      </c>
      <c r="H371" s="15">
        <v>32</v>
      </c>
      <c r="I371" s="17">
        <f>SUM(F371:H371)</f>
        <v>136</v>
      </c>
      <c r="J371" s="15">
        <v>10</v>
      </c>
      <c r="K371" s="15">
        <v>11</v>
      </c>
      <c r="L371" s="15">
        <v>0</v>
      </c>
      <c r="M371" s="15">
        <v>0</v>
      </c>
      <c r="N371" s="15">
        <v>0</v>
      </c>
      <c r="O371" s="15">
        <v>53</v>
      </c>
      <c r="P371" s="15">
        <f>SUM(J371:O371)</f>
        <v>74</v>
      </c>
      <c r="Q371" s="15">
        <v>0</v>
      </c>
      <c r="R371" s="15">
        <v>62</v>
      </c>
      <c r="S371" s="15">
        <v>0</v>
      </c>
      <c r="T371" s="15">
        <v>0</v>
      </c>
      <c r="U371" s="15">
        <v>186</v>
      </c>
      <c r="V371" s="18"/>
      <c r="W371" s="18"/>
      <c r="X371" s="30"/>
      <c r="Y371" s="30"/>
      <c r="Z371" s="30"/>
      <c r="AA371" s="30"/>
      <c r="AB371" s="34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</row>
    <row r="372" spans="1:41" s="39" customFormat="1" ht="20.25" customHeight="1">
      <c r="A372" s="32">
        <v>54</v>
      </c>
      <c r="B372" s="115"/>
      <c r="C372" s="20" t="str">
        <f>IF(A372="","VARA",VLOOKUP(A372,'[1]varas'!$A$4:$B$67,2))</f>
        <v>1ª VT Palmares</v>
      </c>
      <c r="D372" s="15"/>
      <c r="E372" s="16"/>
      <c r="F372" s="15">
        <v>0</v>
      </c>
      <c r="G372" s="15">
        <v>14</v>
      </c>
      <c r="H372" s="15">
        <v>0</v>
      </c>
      <c r="I372" s="17">
        <f>SUM(F372:H372)</f>
        <v>14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f>SUM(J372:O372)</f>
        <v>0</v>
      </c>
      <c r="Q372" s="15">
        <v>14</v>
      </c>
      <c r="R372" s="15">
        <v>0</v>
      </c>
      <c r="S372" s="15">
        <v>0</v>
      </c>
      <c r="T372" s="15">
        <v>0</v>
      </c>
      <c r="U372" s="15">
        <v>0</v>
      </c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53" customFormat="1" ht="17.25" customHeight="1">
      <c r="A373" s="47"/>
      <c r="B373" s="121"/>
      <c r="C373" s="21" t="s">
        <v>12</v>
      </c>
      <c r="D373" s="51"/>
      <c r="E373" s="52"/>
      <c r="F373" s="24">
        <f>SUM(F370:F372)</f>
        <v>104</v>
      </c>
      <c r="G373" s="24">
        <f>SUM(G370:G372)</f>
        <v>14</v>
      </c>
      <c r="H373" s="24">
        <f>SUM(H370:H372)</f>
        <v>32</v>
      </c>
      <c r="I373" s="25">
        <f>SUM(F373:H373)</f>
        <v>150</v>
      </c>
      <c r="J373" s="24">
        <f aca="true" t="shared" si="105" ref="J373:O373">SUM(J370:J372)</f>
        <v>10</v>
      </c>
      <c r="K373" s="24">
        <f t="shared" si="105"/>
        <v>11</v>
      </c>
      <c r="L373" s="24">
        <f t="shared" si="105"/>
        <v>0</v>
      </c>
      <c r="M373" s="24">
        <f t="shared" si="105"/>
        <v>0</v>
      </c>
      <c r="N373" s="24">
        <f t="shared" si="105"/>
        <v>0</v>
      </c>
      <c r="O373" s="24">
        <f t="shared" si="105"/>
        <v>53</v>
      </c>
      <c r="P373" s="24">
        <f>SUM(J373:O373)</f>
        <v>74</v>
      </c>
      <c r="Q373" s="24">
        <f>SUM(Q370:Q372)</f>
        <v>14</v>
      </c>
      <c r="R373" s="24">
        <f>SUM(R370:R372)</f>
        <v>62</v>
      </c>
      <c r="S373" s="24">
        <f>SUM(S370:S372)</f>
        <v>0</v>
      </c>
      <c r="T373" s="24">
        <f>SUM(T370:T372)</f>
        <v>0</v>
      </c>
      <c r="U373" s="24">
        <f>SUM(U370:U372)</f>
        <v>186</v>
      </c>
      <c r="V373" s="26">
        <f>IF(I373-Q373=0,"",IF(D373="",(P373+S373)/(I373-Q373),IF(AND(D373&lt;&gt;"",(P373+S373)/(I373-Q373)&gt;=50%),(P373+S373)/(I373-Q373),"")))</f>
        <v>0.5441176470588235</v>
      </c>
      <c r="W373" s="26">
        <f>IF(I373=O373,"",IF(V373="",0,(P373+Q373+S373-O373)/(I373-O373)))</f>
        <v>0.36082474226804123</v>
      </c>
      <c r="X373" s="49"/>
      <c r="Y373" s="49"/>
      <c r="Z373" s="49"/>
      <c r="AA373" s="49"/>
      <c r="AB373" s="50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</row>
    <row r="374" spans="1:41" s="39" customFormat="1" ht="18.75" customHeight="1">
      <c r="A374" s="32"/>
      <c r="B374" s="122" t="s">
        <v>116</v>
      </c>
      <c r="C374" s="14" t="s">
        <v>2</v>
      </c>
      <c r="D374" s="29"/>
      <c r="E374" s="16" t="s">
        <v>27</v>
      </c>
      <c r="F374" s="15"/>
      <c r="G374" s="15"/>
      <c r="H374" s="15"/>
      <c r="I374" s="17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16.5" customHeight="1">
      <c r="A375" s="32">
        <v>9</v>
      </c>
      <c r="B375" s="115"/>
      <c r="C375" s="20" t="str">
        <f>IF(A375="","VARA",VLOOKUP(A375,'[1]varas'!$A$4:$B$67,2))</f>
        <v>9ª VT Recife</v>
      </c>
      <c r="D375" s="15"/>
      <c r="E375" s="16"/>
      <c r="F375" s="15">
        <f>76+49+7+4</f>
        <v>136</v>
      </c>
      <c r="G375" s="15">
        <v>18</v>
      </c>
      <c r="H375" s="15">
        <v>0</v>
      </c>
      <c r="I375" s="17">
        <f>SUM(F375:H375)</f>
        <v>154</v>
      </c>
      <c r="J375" s="15">
        <v>44</v>
      </c>
      <c r="K375" s="15">
        <v>26</v>
      </c>
      <c r="L375" s="15">
        <v>7</v>
      </c>
      <c r="M375" s="15">
        <v>4</v>
      </c>
      <c r="N375" s="15">
        <v>0</v>
      </c>
      <c r="O375" s="15">
        <v>49</v>
      </c>
      <c r="P375" s="15">
        <f>SUM(J375:O375)</f>
        <v>130</v>
      </c>
      <c r="Q375" s="15">
        <v>24</v>
      </c>
      <c r="R375" s="15">
        <v>0</v>
      </c>
      <c r="S375" s="15">
        <v>0</v>
      </c>
      <c r="T375" s="15">
        <v>0</v>
      </c>
      <c r="U375" s="15">
        <v>301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53" customFormat="1" ht="18" customHeight="1">
      <c r="A376" s="47"/>
      <c r="B376" s="115"/>
      <c r="C376" s="21" t="s">
        <v>12</v>
      </c>
      <c r="D376" s="51"/>
      <c r="E376" s="52"/>
      <c r="F376" s="24">
        <f>SUM(F374:F375)</f>
        <v>136</v>
      </c>
      <c r="G376" s="24">
        <f>SUM(G374:G375)</f>
        <v>18</v>
      </c>
      <c r="H376" s="24">
        <f>SUM(H374:H375)</f>
        <v>0</v>
      </c>
      <c r="I376" s="25">
        <f>SUM(F376:H376)</f>
        <v>154</v>
      </c>
      <c r="J376" s="24">
        <f aca="true" t="shared" si="106" ref="J376:O376">SUM(J374:J375)</f>
        <v>44</v>
      </c>
      <c r="K376" s="24">
        <f t="shared" si="106"/>
        <v>26</v>
      </c>
      <c r="L376" s="24">
        <f t="shared" si="106"/>
        <v>7</v>
      </c>
      <c r="M376" s="24">
        <f t="shared" si="106"/>
        <v>4</v>
      </c>
      <c r="N376" s="24">
        <f t="shared" si="106"/>
        <v>0</v>
      </c>
      <c r="O376" s="24">
        <f t="shared" si="106"/>
        <v>49</v>
      </c>
      <c r="P376" s="24">
        <f>SUM(J376:O376)</f>
        <v>130</v>
      </c>
      <c r="Q376" s="24">
        <f>SUM(Q374:Q375)</f>
        <v>24</v>
      </c>
      <c r="R376" s="24">
        <f>SUM(R374:R375)</f>
        <v>0</v>
      </c>
      <c r="S376" s="24">
        <f>SUM(S374:S375)</f>
        <v>0</v>
      </c>
      <c r="T376" s="24">
        <f>SUM(T374:T375)</f>
        <v>0</v>
      </c>
      <c r="U376" s="24">
        <f>SUM(U374:U375)</f>
        <v>301</v>
      </c>
      <c r="V376" s="26">
        <f>IF(I376-Q376=0,"",IF(D376="",(P376+S376)/(I376-Q376),IF(AND(D376&lt;&gt;"",(P376+S376)/(I376-Q376)&gt;=50%),(P376+S376)/(I376-Q376),"")))</f>
        <v>1</v>
      </c>
      <c r="W376" s="26">
        <f>IF(I376=O376,"",IF(V376="",0,(P376+Q376+S376-O376)/(I376-O376)))</f>
        <v>1</v>
      </c>
      <c r="X376" s="49"/>
      <c r="Y376" s="49"/>
      <c r="Z376" s="49"/>
      <c r="AA376" s="49"/>
      <c r="AB376" s="50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</row>
    <row r="377" spans="1:41" s="53" customFormat="1" ht="18" customHeight="1">
      <c r="A377" s="47"/>
      <c r="B377" s="115" t="s">
        <v>188</v>
      </c>
      <c r="C377" s="14" t="s">
        <v>161</v>
      </c>
      <c r="D377" s="15"/>
      <c r="E377" s="16" t="s">
        <v>27</v>
      </c>
      <c r="F377" s="15"/>
      <c r="G377" s="15"/>
      <c r="H377" s="15"/>
      <c r="I377" s="17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8"/>
      <c r="X377" s="49"/>
      <c r="Y377" s="49"/>
      <c r="Z377" s="49"/>
      <c r="AA377" s="49"/>
      <c r="AB377" s="50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</row>
    <row r="378" spans="1:41" s="53" customFormat="1" ht="18" customHeight="1">
      <c r="A378" s="47">
        <v>8</v>
      </c>
      <c r="B378" s="115"/>
      <c r="C378" s="20" t="str">
        <f>IF(A378="","VARA",VLOOKUP(A378,'[1]varas'!$A$4:$B$67,2))</f>
        <v>8ª VT Recife</v>
      </c>
      <c r="D378" s="15"/>
      <c r="E378" s="16"/>
      <c r="F378" s="15">
        <v>7</v>
      </c>
      <c r="G378" s="15">
        <v>0</v>
      </c>
      <c r="H378" s="15">
        <v>0</v>
      </c>
      <c r="I378" s="17">
        <f>SUM(F378:H378)</f>
        <v>7</v>
      </c>
      <c r="J378" s="15">
        <v>3</v>
      </c>
      <c r="K378" s="15">
        <v>1</v>
      </c>
      <c r="L378" s="15">
        <v>0</v>
      </c>
      <c r="M378" s="15">
        <v>0</v>
      </c>
      <c r="N378" s="15">
        <v>0</v>
      </c>
      <c r="O378" s="15">
        <v>3</v>
      </c>
      <c r="P378" s="15">
        <f>SUM(J378:O378)</f>
        <v>7</v>
      </c>
      <c r="Q378" s="15">
        <v>0</v>
      </c>
      <c r="R378" s="15">
        <v>0</v>
      </c>
      <c r="S378" s="15">
        <v>0</v>
      </c>
      <c r="T378" s="15">
        <v>0</v>
      </c>
      <c r="U378" s="15">
        <v>16</v>
      </c>
      <c r="V378" s="18"/>
      <c r="W378" s="18"/>
      <c r="X378" s="49"/>
      <c r="Y378" s="49"/>
      <c r="Z378" s="49"/>
      <c r="AA378" s="49"/>
      <c r="AB378" s="50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</row>
    <row r="379" spans="1:41" s="53" customFormat="1" ht="18" customHeight="1">
      <c r="A379" s="47">
        <v>22</v>
      </c>
      <c r="B379" s="115"/>
      <c r="C379" s="20" t="str">
        <f>IF(A379="","VARA",VLOOKUP(A379,'[1]varas'!$A$4:$B$67,2))</f>
        <v>22ª VT Recife</v>
      </c>
      <c r="D379" s="15"/>
      <c r="E379" s="16"/>
      <c r="F379" s="15">
        <v>13</v>
      </c>
      <c r="G379" s="15">
        <v>0</v>
      </c>
      <c r="H379" s="15">
        <v>0</v>
      </c>
      <c r="I379" s="17">
        <f>SUM(F379:H379)</f>
        <v>13</v>
      </c>
      <c r="J379" s="15">
        <v>8</v>
      </c>
      <c r="K379" s="15">
        <v>0</v>
      </c>
      <c r="L379" s="15">
        <v>0</v>
      </c>
      <c r="M379" s="15">
        <v>0</v>
      </c>
      <c r="N379" s="15">
        <v>0</v>
      </c>
      <c r="O379" s="15">
        <v>5</v>
      </c>
      <c r="P379" s="15">
        <f>SUM(J379:O379)</f>
        <v>13</v>
      </c>
      <c r="Q379" s="15">
        <v>0</v>
      </c>
      <c r="R379" s="15">
        <v>0</v>
      </c>
      <c r="S379" s="15">
        <v>0</v>
      </c>
      <c r="T379" s="15">
        <v>0</v>
      </c>
      <c r="U379" s="15">
        <v>21</v>
      </c>
      <c r="V379" s="18"/>
      <c r="W379" s="18"/>
      <c r="X379" s="49"/>
      <c r="Y379" s="49"/>
      <c r="Z379" s="49"/>
      <c r="AA379" s="49"/>
      <c r="AB379" s="50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</row>
    <row r="380" spans="1:41" s="53" customFormat="1" ht="18" customHeight="1">
      <c r="A380" s="47">
        <v>35</v>
      </c>
      <c r="B380" s="115"/>
      <c r="C380" s="20" t="str">
        <f>IF(A380="","VARA",VLOOKUP(A380,'[1]varas'!$A$4:$B$67,2))</f>
        <v>2ª VT Jaboatão</v>
      </c>
      <c r="D380" s="15"/>
      <c r="E380" s="16"/>
      <c r="F380" s="15">
        <f>39+38+13</f>
        <v>90</v>
      </c>
      <c r="G380" s="15">
        <v>12</v>
      </c>
      <c r="H380" s="15">
        <v>0</v>
      </c>
      <c r="I380" s="17">
        <f>SUM(F380:H380)</f>
        <v>102</v>
      </c>
      <c r="J380" s="15">
        <v>17</v>
      </c>
      <c r="K380" s="15">
        <v>19</v>
      </c>
      <c r="L380" s="15">
        <v>10</v>
      </c>
      <c r="M380" s="15">
        <v>3</v>
      </c>
      <c r="N380" s="15">
        <v>0</v>
      </c>
      <c r="O380" s="15">
        <v>38</v>
      </c>
      <c r="P380" s="15">
        <f>SUM(J380:O380)</f>
        <v>87</v>
      </c>
      <c r="Q380" s="15">
        <v>15</v>
      </c>
      <c r="R380" s="15">
        <v>0</v>
      </c>
      <c r="S380" s="15">
        <v>0</v>
      </c>
      <c r="T380" s="15">
        <v>0</v>
      </c>
      <c r="U380" s="15">
        <v>183</v>
      </c>
      <c r="V380" s="18"/>
      <c r="W380" s="18"/>
      <c r="X380" s="49"/>
      <c r="Y380" s="49"/>
      <c r="Z380" s="49"/>
      <c r="AA380" s="49"/>
      <c r="AB380" s="50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</row>
    <row r="381" spans="1:41" s="53" customFormat="1" ht="18" customHeight="1">
      <c r="A381" s="47"/>
      <c r="B381" s="115"/>
      <c r="C381" s="21" t="s">
        <v>12</v>
      </c>
      <c r="D381" s="51"/>
      <c r="E381" s="52"/>
      <c r="F381" s="24">
        <f>SUM(F377:F380)</f>
        <v>110</v>
      </c>
      <c r="G381" s="24">
        <f>SUM(G377:G380)</f>
        <v>12</v>
      </c>
      <c r="H381" s="24">
        <f>SUM(H377:H380)</f>
        <v>0</v>
      </c>
      <c r="I381" s="25">
        <f>SUM(F381:H381)</f>
        <v>122</v>
      </c>
      <c r="J381" s="24">
        <f aca="true" t="shared" si="107" ref="J381:O381">SUM(J377:J380)</f>
        <v>28</v>
      </c>
      <c r="K381" s="24">
        <f t="shared" si="107"/>
        <v>20</v>
      </c>
      <c r="L381" s="24">
        <f t="shared" si="107"/>
        <v>10</v>
      </c>
      <c r="M381" s="24">
        <f t="shared" si="107"/>
        <v>3</v>
      </c>
      <c r="N381" s="24">
        <f t="shared" si="107"/>
        <v>0</v>
      </c>
      <c r="O381" s="24">
        <f t="shared" si="107"/>
        <v>46</v>
      </c>
      <c r="P381" s="24">
        <f>SUM(J381:O381)</f>
        <v>107</v>
      </c>
      <c r="Q381" s="24">
        <f>SUM(Q377:Q380)</f>
        <v>15</v>
      </c>
      <c r="R381" s="24">
        <f>SUM(R377:R380)</f>
        <v>0</v>
      </c>
      <c r="S381" s="24">
        <f>SUM(S377:S380)</f>
        <v>0</v>
      </c>
      <c r="T381" s="24">
        <f>SUM(T377:T380)</f>
        <v>0</v>
      </c>
      <c r="U381" s="24">
        <f>SUM(U377:U380)</f>
        <v>220</v>
      </c>
      <c r="V381" s="26">
        <f>IF(I381-Q381=0,"",IF(D381="",(P381+S381)/(I381-Q381),IF(AND(D381&lt;&gt;"",(P381+S381)/(I381-Q381)&gt;=50%),(P381+S381)/(I381-Q381),"")))</f>
        <v>1</v>
      </c>
      <c r="W381" s="26">
        <f>IF(I381=O381,"",IF(V381="",0,(P381+Q381+S381-O381)/(I381-O381)))</f>
        <v>1</v>
      </c>
      <c r="X381" s="49"/>
      <c r="Y381" s="49"/>
      <c r="Z381" s="49"/>
      <c r="AA381" s="49"/>
      <c r="AB381" s="50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</row>
    <row r="382" spans="1:41" s="39" customFormat="1" ht="18" customHeight="1">
      <c r="A382" s="32"/>
      <c r="B382" s="115" t="s">
        <v>117</v>
      </c>
      <c r="C382" s="14" t="s">
        <v>161</v>
      </c>
      <c r="D382" s="15" t="s">
        <v>165</v>
      </c>
      <c r="E382" s="16" t="s">
        <v>195</v>
      </c>
      <c r="F382" s="15"/>
      <c r="G382" s="15"/>
      <c r="H382" s="15"/>
      <c r="I382" s="17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8"/>
      <c r="X382" s="30"/>
      <c r="Y382" s="30"/>
      <c r="Z382" s="30"/>
      <c r="AA382" s="30"/>
      <c r="AB382" s="34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</row>
    <row r="383" spans="1:41" s="39" customFormat="1" ht="18" customHeight="1">
      <c r="A383" s="32">
        <v>14</v>
      </c>
      <c r="B383" s="115"/>
      <c r="C383" s="20" t="str">
        <f>IF(A383="","VARA",VLOOKUP(A383,'[1]varas'!$A$4:$B$67,2))</f>
        <v>14ª VT Recife</v>
      </c>
      <c r="D383" s="15"/>
      <c r="E383" s="16"/>
      <c r="F383" s="15">
        <f>15+7+2</f>
        <v>24</v>
      </c>
      <c r="G383" s="15">
        <v>0</v>
      </c>
      <c r="H383" s="15">
        <v>0</v>
      </c>
      <c r="I383" s="17">
        <f>SUM(F383:H383)</f>
        <v>24</v>
      </c>
      <c r="J383" s="15">
        <v>1</v>
      </c>
      <c r="K383" s="15">
        <v>5</v>
      </c>
      <c r="L383" s="15">
        <v>1</v>
      </c>
      <c r="M383" s="15">
        <v>1</v>
      </c>
      <c r="N383" s="15">
        <v>0</v>
      </c>
      <c r="O383" s="15">
        <v>7</v>
      </c>
      <c r="P383" s="15">
        <f>SUM(J383:O383)</f>
        <v>15</v>
      </c>
      <c r="Q383" s="15">
        <v>9</v>
      </c>
      <c r="R383" s="15">
        <v>0</v>
      </c>
      <c r="S383" s="15">
        <v>0</v>
      </c>
      <c r="T383" s="15">
        <v>0</v>
      </c>
      <c r="U383" s="15">
        <v>32</v>
      </c>
      <c r="V383" s="18"/>
      <c r="W383" s="18"/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53" customFormat="1" ht="18" customHeight="1">
      <c r="A384" s="47"/>
      <c r="B384" s="115"/>
      <c r="C384" s="21" t="s">
        <v>12</v>
      </c>
      <c r="D384" s="51"/>
      <c r="E384" s="52"/>
      <c r="F384" s="24">
        <f>SUM(F382:F383)</f>
        <v>24</v>
      </c>
      <c r="G384" s="24">
        <f>SUM(G382:G383)</f>
        <v>0</v>
      </c>
      <c r="H384" s="24">
        <f>SUM(H382:H383)</f>
        <v>0</v>
      </c>
      <c r="I384" s="25">
        <f>SUM(F384:H384)</f>
        <v>24</v>
      </c>
      <c r="J384" s="24">
        <f aca="true" t="shared" si="108" ref="J384:O384">SUM(J382:J383)</f>
        <v>1</v>
      </c>
      <c r="K384" s="24">
        <f t="shared" si="108"/>
        <v>5</v>
      </c>
      <c r="L384" s="24">
        <f t="shared" si="108"/>
        <v>1</v>
      </c>
      <c r="M384" s="24">
        <f t="shared" si="108"/>
        <v>1</v>
      </c>
      <c r="N384" s="24">
        <f t="shared" si="108"/>
        <v>0</v>
      </c>
      <c r="O384" s="24">
        <f t="shared" si="108"/>
        <v>7</v>
      </c>
      <c r="P384" s="24">
        <f>SUM(J384:O384)</f>
        <v>15</v>
      </c>
      <c r="Q384" s="24">
        <f>SUM(Q382:Q383)</f>
        <v>9</v>
      </c>
      <c r="R384" s="24">
        <f>SUM(R382:R383)</f>
        <v>0</v>
      </c>
      <c r="S384" s="24">
        <f>SUM(S382:S383)</f>
        <v>0</v>
      </c>
      <c r="T384" s="24">
        <f>SUM(T382:T383)</f>
        <v>0</v>
      </c>
      <c r="U384" s="24">
        <f>SUM(U382:U383)</f>
        <v>32</v>
      </c>
      <c r="V384" s="26">
        <f>IF(I384-Q384=0,"",IF(D384="",(P384+S384)/(I384-Q384),IF(AND(D384&lt;&gt;"",(P384+S384)/(I384-Q384)&gt;=50%),(P384+S384)/(I384-Q384),"")))</f>
        <v>1</v>
      </c>
      <c r="W384" s="26">
        <f>IF(I384=O384,"",IF(V384="",0,(P384+Q384+S384-O384)/(I384-O384)))</f>
        <v>1</v>
      </c>
      <c r="X384" s="49"/>
      <c r="Y384" s="49"/>
      <c r="Z384" s="49"/>
      <c r="AA384" s="49"/>
      <c r="AB384" s="50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</row>
    <row r="385" spans="1:41" s="39" customFormat="1" ht="21.75" customHeight="1">
      <c r="A385" s="32"/>
      <c r="B385" s="115" t="s">
        <v>118</v>
      </c>
      <c r="C385" s="14" t="s">
        <v>158</v>
      </c>
      <c r="D385" s="29"/>
      <c r="E385" s="16" t="s">
        <v>27</v>
      </c>
      <c r="F385" s="15"/>
      <c r="G385" s="15"/>
      <c r="H385" s="15"/>
      <c r="I385" s="17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8"/>
      <c r="X385" s="30"/>
      <c r="Y385" s="30"/>
      <c r="Z385" s="30"/>
      <c r="AA385" s="30"/>
      <c r="AB385" s="34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</row>
    <row r="386" spans="1:41" s="39" customFormat="1" ht="21.75" customHeight="1">
      <c r="A386" s="32">
        <v>8</v>
      </c>
      <c r="B386" s="115"/>
      <c r="C386" s="20" t="str">
        <f>IF(A386="","VARA",VLOOKUP(A386,'[1]varas'!$A$4:$B$67,2))</f>
        <v>8ª VT Recife</v>
      </c>
      <c r="D386" s="15"/>
      <c r="E386" s="16"/>
      <c r="F386" s="15">
        <f>58+32</f>
        <v>90</v>
      </c>
      <c r="G386" s="15">
        <v>0</v>
      </c>
      <c r="H386" s="15">
        <v>0</v>
      </c>
      <c r="I386" s="17">
        <f>SUM(F386:H386)</f>
        <v>90</v>
      </c>
      <c r="J386" s="15">
        <v>20</v>
      </c>
      <c r="K386" s="15">
        <v>19</v>
      </c>
      <c r="L386" s="15">
        <v>1</v>
      </c>
      <c r="M386" s="15">
        <v>1</v>
      </c>
      <c r="N386" s="15">
        <v>0</v>
      </c>
      <c r="O386" s="15">
        <v>30</v>
      </c>
      <c r="P386" s="15">
        <f>SUM(J386:O386)</f>
        <v>71</v>
      </c>
      <c r="Q386" s="15">
        <v>17</v>
      </c>
      <c r="R386" s="15">
        <v>2</v>
      </c>
      <c r="S386" s="15">
        <v>0</v>
      </c>
      <c r="T386" s="15">
        <v>0</v>
      </c>
      <c r="U386" s="15">
        <v>133</v>
      </c>
      <c r="V386" s="18"/>
      <c r="W386" s="18"/>
      <c r="X386" s="30"/>
      <c r="Y386" s="30"/>
      <c r="Z386" s="30"/>
      <c r="AA386" s="30"/>
      <c r="AB386" s="34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</row>
    <row r="387" spans="1:41" s="39" customFormat="1" ht="21.75" customHeight="1">
      <c r="A387" s="32">
        <v>16</v>
      </c>
      <c r="B387" s="115"/>
      <c r="C387" s="20" t="str">
        <f>IF(A387="","VARA",VLOOKUP(A387,'[1]varas'!$A$4:$B$67,2))</f>
        <v>16ª VT Recife</v>
      </c>
      <c r="D387" s="15"/>
      <c r="E387" s="16"/>
      <c r="F387" s="15">
        <v>16</v>
      </c>
      <c r="G387" s="15">
        <v>0</v>
      </c>
      <c r="H387" s="15">
        <v>0</v>
      </c>
      <c r="I387" s="17">
        <f>SUM(F387:H387)</f>
        <v>16</v>
      </c>
      <c r="J387" s="15">
        <v>0</v>
      </c>
      <c r="K387" s="15">
        <v>4</v>
      </c>
      <c r="L387" s="15">
        <v>0</v>
      </c>
      <c r="M387" s="15">
        <v>0</v>
      </c>
      <c r="N387" s="15">
        <v>0</v>
      </c>
      <c r="O387" s="15">
        <v>6</v>
      </c>
      <c r="P387" s="15">
        <f>SUM(J387:O387)</f>
        <v>10</v>
      </c>
      <c r="Q387" s="15">
        <v>6</v>
      </c>
      <c r="R387" s="15">
        <v>0</v>
      </c>
      <c r="S387" s="15">
        <v>0</v>
      </c>
      <c r="T387" s="15">
        <v>0</v>
      </c>
      <c r="U387" s="15">
        <v>41</v>
      </c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39" customFormat="1" ht="21" customHeight="1">
      <c r="A388" s="32">
        <v>66</v>
      </c>
      <c r="B388" s="115"/>
      <c r="C388" s="20" t="s">
        <v>167</v>
      </c>
      <c r="D388" s="15"/>
      <c r="E388" s="16"/>
      <c r="F388" s="15">
        <v>24</v>
      </c>
      <c r="G388" s="15">
        <v>0</v>
      </c>
      <c r="H388" s="15">
        <v>0</v>
      </c>
      <c r="I388" s="17">
        <f>SUM(F388:H388)</f>
        <v>24</v>
      </c>
      <c r="J388" s="15">
        <v>7</v>
      </c>
      <c r="K388" s="15">
        <v>4</v>
      </c>
      <c r="L388" s="15">
        <v>0</v>
      </c>
      <c r="M388" s="15">
        <v>0</v>
      </c>
      <c r="N388" s="15">
        <v>0</v>
      </c>
      <c r="O388" s="15">
        <v>13</v>
      </c>
      <c r="P388" s="15">
        <f>SUM(J388:O388)</f>
        <v>24</v>
      </c>
      <c r="Q388" s="15">
        <v>0</v>
      </c>
      <c r="R388" s="15">
        <v>0</v>
      </c>
      <c r="S388" s="15">
        <v>0</v>
      </c>
      <c r="T388" s="15">
        <v>0</v>
      </c>
      <c r="U388" s="15">
        <v>65</v>
      </c>
      <c r="V388" s="18"/>
      <c r="W388" s="18"/>
      <c r="X388" s="30"/>
      <c r="Y388" s="30"/>
      <c r="Z388" s="30"/>
      <c r="AA388" s="30"/>
      <c r="AB388" s="34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</row>
    <row r="389" spans="1:41" s="53" customFormat="1" ht="17.25" customHeight="1">
      <c r="A389" s="47"/>
      <c r="B389" s="115"/>
      <c r="C389" s="20" t="s">
        <v>12</v>
      </c>
      <c r="D389" s="24"/>
      <c r="E389" s="48"/>
      <c r="F389" s="24">
        <f>SUM(F385:F388)</f>
        <v>130</v>
      </c>
      <c r="G389" s="24">
        <f>SUM(G385:G388)</f>
        <v>0</v>
      </c>
      <c r="H389" s="24">
        <f>SUM(H385:H388)</f>
        <v>0</v>
      </c>
      <c r="I389" s="40">
        <f>SUM(F389:H389)</f>
        <v>130</v>
      </c>
      <c r="J389" s="24">
        <f aca="true" t="shared" si="109" ref="J389:O389">SUM(J385:J388)</f>
        <v>27</v>
      </c>
      <c r="K389" s="24">
        <f t="shared" si="109"/>
        <v>27</v>
      </c>
      <c r="L389" s="24">
        <f t="shared" si="109"/>
        <v>1</v>
      </c>
      <c r="M389" s="24">
        <f t="shared" si="109"/>
        <v>1</v>
      </c>
      <c r="N389" s="24">
        <f t="shared" si="109"/>
        <v>0</v>
      </c>
      <c r="O389" s="24">
        <f t="shared" si="109"/>
        <v>49</v>
      </c>
      <c r="P389" s="24">
        <f>SUM(J389:O389)</f>
        <v>105</v>
      </c>
      <c r="Q389" s="24">
        <f>SUM(Q385:Q388)</f>
        <v>23</v>
      </c>
      <c r="R389" s="24">
        <f>SUM(R385:R388)</f>
        <v>2</v>
      </c>
      <c r="S389" s="24">
        <f>SUM(S385:S388)</f>
        <v>0</v>
      </c>
      <c r="T389" s="24">
        <f>SUM(T385:T388)</f>
        <v>0</v>
      </c>
      <c r="U389" s="24">
        <f>SUM(U385:U388)</f>
        <v>239</v>
      </c>
      <c r="V389" s="26">
        <f>IF(I389-Q389=0,"",IF(D389="",(P389+S389)/(I389-Q389),IF(AND(D389&lt;&gt;"",(P389+S389)/(I389-Q389)&gt;=50%),(P389+S389)/(I389-Q389),"")))</f>
        <v>0.9813084112149533</v>
      </c>
      <c r="W389" s="26">
        <f>IF(I389=O389,"",IF(V389="",0,(P389+Q389+S389-O389)/(I389-O389)))</f>
        <v>0.9753086419753086</v>
      </c>
      <c r="X389" s="49"/>
      <c r="Y389" s="49"/>
      <c r="Z389" s="49"/>
      <c r="AA389" s="49"/>
      <c r="AB389" s="50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</row>
    <row r="390" spans="1:41" s="39" customFormat="1" ht="20.25" customHeight="1">
      <c r="A390" s="32"/>
      <c r="B390" s="115" t="s">
        <v>119</v>
      </c>
      <c r="C390" s="14" t="s">
        <v>2</v>
      </c>
      <c r="D390" s="29" t="s">
        <v>43</v>
      </c>
      <c r="E390" s="16" t="s">
        <v>236</v>
      </c>
      <c r="F390" s="15"/>
      <c r="G390" s="15"/>
      <c r="H390" s="15"/>
      <c r="I390" s="17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17.25" customHeight="1">
      <c r="A391" s="32">
        <v>40</v>
      </c>
      <c r="B391" s="115"/>
      <c r="C391" s="20" t="str">
        <f>IF(A391="","VARA",VLOOKUP(A391,'[1]varas'!$A$4:$B$67,2))</f>
        <v>3ª VT Olinda</v>
      </c>
      <c r="D391" s="15"/>
      <c r="E391" s="16"/>
      <c r="F391" s="15">
        <f>47+78+5+2</f>
        <v>132</v>
      </c>
      <c r="G391" s="15">
        <v>0</v>
      </c>
      <c r="H391" s="15">
        <v>0</v>
      </c>
      <c r="I391" s="17">
        <f>SUM(F391:H391)</f>
        <v>132</v>
      </c>
      <c r="J391" s="15">
        <v>29</v>
      </c>
      <c r="K391" s="15">
        <v>18</v>
      </c>
      <c r="L391" s="15">
        <v>5</v>
      </c>
      <c r="M391" s="15">
        <v>2</v>
      </c>
      <c r="N391" s="15">
        <v>0</v>
      </c>
      <c r="O391" s="15">
        <v>78</v>
      </c>
      <c r="P391" s="15">
        <f>SUM(J391:O391)</f>
        <v>132</v>
      </c>
      <c r="Q391" s="15">
        <v>0</v>
      </c>
      <c r="R391" s="15">
        <v>0</v>
      </c>
      <c r="S391" s="15">
        <v>0</v>
      </c>
      <c r="T391" s="15">
        <v>0</v>
      </c>
      <c r="U391" s="15">
        <v>265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53" customFormat="1" ht="18.75" customHeight="1">
      <c r="A392" s="47"/>
      <c r="B392" s="115"/>
      <c r="C392" s="21" t="s">
        <v>12</v>
      </c>
      <c r="D392" s="51"/>
      <c r="E392" s="52"/>
      <c r="F392" s="24">
        <f>SUM(F390:F391)</f>
        <v>132</v>
      </c>
      <c r="G392" s="24">
        <f>SUM(G390:G391)</f>
        <v>0</v>
      </c>
      <c r="H392" s="24">
        <f>SUM(H390:H391)</f>
        <v>0</v>
      </c>
      <c r="I392" s="25">
        <f>SUM(F392:H392)</f>
        <v>132</v>
      </c>
      <c r="J392" s="24">
        <f aca="true" t="shared" si="110" ref="J392:O392">SUM(J390:J391)</f>
        <v>29</v>
      </c>
      <c r="K392" s="24">
        <f t="shared" si="110"/>
        <v>18</v>
      </c>
      <c r="L392" s="24">
        <f t="shared" si="110"/>
        <v>5</v>
      </c>
      <c r="M392" s="24">
        <f t="shared" si="110"/>
        <v>2</v>
      </c>
      <c r="N392" s="24">
        <f t="shared" si="110"/>
        <v>0</v>
      </c>
      <c r="O392" s="24">
        <f t="shared" si="110"/>
        <v>78</v>
      </c>
      <c r="P392" s="24">
        <f>SUM(J392:O392)</f>
        <v>132</v>
      </c>
      <c r="Q392" s="24">
        <f>SUM(Q390:Q391)</f>
        <v>0</v>
      </c>
      <c r="R392" s="24">
        <f>SUM(R390:R391)</f>
        <v>0</v>
      </c>
      <c r="S392" s="24">
        <f>SUM(S390:S391)</f>
        <v>0</v>
      </c>
      <c r="T392" s="24">
        <f>SUM(T390:T391)</f>
        <v>0</v>
      </c>
      <c r="U392" s="24">
        <f>SUM(U390:U391)</f>
        <v>265</v>
      </c>
      <c r="V392" s="26">
        <f>IF(I392-Q392=0,"",IF(D392="",(P392+S392)/(I392-Q392),IF(AND(D392&lt;&gt;"",(P392+S392)/(I392-Q392)&gt;=50%),(P392+S392)/(I392-Q392),"")))</f>
        <v>1</v>
      </c>
      <c r="W392" s="26">
        <f>IF(I392=O392,"",IF(V392="",0,(P392+Q392+S392-O392)/(I392-O392)))</f>
        <v>1</v>
      </c>
      <c r="X392" s="49"/>
      <c r="Y392" s="49"/>
      <c r="Z392" s="49"/>
      <c r="AA392" s="49"/>
      <c r="AB392" s="50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</row>
    <row r="393" spans="1:41" s="39" customFormat="1" ht="19.5" customHeight="1">
      <c r="A393" s="32"/>
      <c r="B393" s="115" t="s">
        <v>120</v>
      </c>
      <c r="C393" s="14" t="s">
        <v>2</v>
      </c>
      <c r="D393" s="15" t="s">
        <v>30</v>
      </c>
      <c r="E393" s="16" t="s">
        <v>204</v>
      </c>
      <c r="F393" s="15"/>
      <c r="G393" s="15"/>
      <c r="H393" s="15"/>
      <c r="I393" s="17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15.75" customHeight="1">
      <c r="A394" s="32">
        <v>53</v>
      </c>
      <c r="B394" s="115"/>
      <c r="C394" s="20" t="str">
        <f>IF(A394="","VARA",VLOOKUP(A394,'[1]varas'!$A$4:$B$67,2))</f>
        <v>VT Nazaré</v>
      </c>
      <c r="D394" s="15"/>
      <c r="E394" s="16"/>
      <c r="F394" s="15">
        <v>0</v>
      </c>
      <c r="G394" s="15">
        <v>3</v>
      </c>
      <c r="H394" s="15">
        <v>83</v>
      </c>
      <c r="I394" s="17">
        <f>SUM(F394:H394)</f>
        <v>86</v>
      </c>
      <c r="J394" s="15">
        <v>0</v>
      </c>
      <c r="K394" s="15">
        <v>0</v>
      </c>
      <c r="L394" s="15">
        <v>6</v>
      </c>
      <c r="M394" s="15">
        <v>0</v>
      </c>
      <c r="N394" s="15">
        <v>0</v>
      </c>
      <c r="O394" s="15">
        <v>0</v>
      </c>
      <c r="P394" s="15">
        <f>SUM(J394:O394)</f>
        <v>6</v>
      </c>
      <c r="Q394" s="15">
        <v>3</v>
      </c>
      <c r="R394" s="15">
        <v>77</v>
      </c>
      <c r="S394" s="15">
        <v>0</v>
      </c>
      <c r="T394" s="15">
        <v>0</v>
      </c>
      <c r="U394" s="15">
        <v>0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53" customFormat="1" ht="20.25" customHeight="1">
      <c r="A395" s="47"/>
      <c r="B395" s="115"/>
      <c r="C395" s="21" t="s">
        <v>12</v>
      </c>
      <c r="D395" s="51"/>
      <c r="E395" s="52"/>
      <c r="F395" s="24">
        <f>SUM(F393:F394)</f>
        <v>0</v>
      </c>
      <c r="G395" s="24">
        <f>SUM(G393:G394)</f>
        <v>3</v>
      </c>
      <c r="H395" s="24">
        <f>SUM(H393:H394)</f>
        <v>83</v>
      </c>
      <c r="I395" s="25">
        <f>SUM(F395:H395)</f>
        <v>86</v>
      </c>
      <c r="J395" s="24">
        <f aca="true" t="shared" si="111" ref="J395:O395">SUM(J393:J394)</f>
        <v>0</v>
      </c>
      <c r="K395" s="24">
        <f t="shared" si="111"/>
        <v>0</v>
      </c>
      <c r="L395" s="24">
        <f t="shared" si="111"/>
        <v>6</v>
      </c>
      <c r="M395" s="24">
        <f t="shared" si="111"/>
        <v>0</v>
      </c>
      <c r="N395" s="24">
        <f t="shared" si="111"/>
        <v>0</v>
      </c>
      <c r="O395" s="24">
        <f t="shared" si="111"/>
        <v>0</v>
      </c>
      <c r="P395" s="24">
        <f>SUM(J395:O395)</f>
        <v>6</v>
      </c>
      <c r="Q395" s="24">
        <f>SUM(Q393:Q394)</f>
        <v>3</v>
      </c>
      <c r="R395" s="24">
        <f>SUM(R393:R394)</f>
        <v>77</v>
      </c>
      <c r="S395" s="24">
        <f>SUM(S393:S394)</f>
        <v>0</v>
      </c>
      <c r="T395" s="24">
        <f>SUM(T393:T394)</f>
        <v>0</v>
      </c>
      <c r="U395" s="24">
        <f>SUM(U393:U394)</f>
        <v>0</v>
      </c>
      <c r="V395" s="26">
        <f>IF(I395-Q395=0,"",IF(D395="",(P395+S395)/(I395-Q395),IF(AND(D395&lt;&gt;"",(P395+S395)/(I395-Q395)&gt;=50%),(P395+S395)/(I395-Q395),"")))</f>
        <v>0.07228915662650602</v>
      </c>
      <c r="W395" s="26">
        <f>IF(I395=O395,"",IF(V395="",0,(P395+Q395+S395-O395)/(I395-O395)))</f>
        <v>0.10465116279069768</v>
      </c>
      <c r="X395" s="49"/>
      <c r="Y395" s="49"/>
      <c r="Z395" s="49"/>
      <c r="AA395" s="49"/>
      <c r="AB395" s="50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</row>
    <row r="396" spans="1:41" s="53" customFormat="1" ht="20.25" customHeight="1">
      <c r="A396" s="47"/>
      <c r="B396" s="115" t="s">
        <v>191</v>
      </c>
      <c r="C396" s="14" t="s">
        <v>180</v>
      </c>
      <c r="D396" s="29" t="s">
        <v>30</v>
      </c>
      <c r="E396" s="16" t="s">
        <v>204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49"/>
      <c r="Y396" s="49"/>
      <c r="Z396" s="49"/>
      <c r="AA396" s="49"/>
      <c r="AB396" s="50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</row>
    <row r="397" spans="1:41" s="53" customFormat="1" ht="20.25" customHeight="1">
      <c r="A397" s="47">
        <v>63</v>
      </c>
      <c r="B397" s="115"/>
      <c r="C397" s="95" t="str">
        <f>IF(A397="","VARA",VLOOKUP(A397,'[1]varas'!$A$4:$B$67,2))</f>
        <v>PAJT Sertânia</v>
      </c>
      <c r="D397" s="103"/>
      <c r="E397" s="91"/>
      <c r="F397" s="92">
        <v>0</v>
      </c>
      <c r="G397" s="92">
        <v>4</v>
      </c>
      <c r="H397" s="92">
        <v>0</v>
      </c>
      <c r="I397" s="93">
        <f>SUM(F397:H397)</f>
        <v>4</v>
      </c>
      <c r="J397" s="92">
        <v>0</v>
      </c>
      <c r="K397" s="92">
        <v>0</v>
      </c>
      <c r="L397" s="92">
        <v>0</v>
      </c>
      <c r="M397" s="92">
        <v>0</v>
      </c>
      <c r="N397" s="92">
        <v>0</v>
      </c>
      <c r="O397" s="92">
        <v>0</v>
      </c>
      <c r="P397" s="92">
        <f>SUM(J397:O397)</f>
        <v>0</v>
      </c>
      <c r="Q397" s="92">
        <v>0</v>
      </c>
      <c r="R397" s="92">
        <v>4</v>
      </c>
      <c r="S397" s="92">
        <v>0</v>
      </c>
      <c r="T397" s="92">
        <v>0</v>
      </c>
      <c r="U397" s="92">
        <v>0</v>
      </c>
      <c r="V397" s="94"/>
      <c r="W397" s="94"/>
      <c r="X397" s="49"/>
      <c r="Y397" s="49"/>
      <c r="Z397" s="49"/>
      <c r="AA397" s="49"/>
      <c r="AB397" s="50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</row>
    <row r="398" spans="1:41" s="53" customFormat="1" ht="20.25" customHeight="1">
      <c r="A398" s="47">
        <v>58</v>
      </c>
      <c r="B398" s="115"/>
      <c r="C398" s="95" t="str">
        <f>IF(A398="","VARA",VLOOKUP(A398,'[1]varas'!$A$4:$B$67,2))</f>
        <v>VT S.Talhada</v>
      </c>
      <c r="D398" s="103"/>
      <c r="E398" s="91"/>
      <c r="F398" s="92">
        <v>0</v>
      </c>
      <c r="G398" s="92">
        <v>0</v>
      </c>
      <c r="H398" s="92">
        <v>0</v>
      </c>
      <c r="I398" s="93">
        <f>SUM(F398:H398)</f>
        <v>0</v>
      </c>
      <c r="J398" s="92">
        <v>0</v>
      </c>
      <c r="K398" s="92">
        <v>0</v>
      </c>
      <c r="L398" s="92">
        <v>0</v>
      </c>
      <c r="M398" s="92">
        <v>0</v>
      </c>
      <c r="N398" s="92">
        <v>0</v>
      </c>
      <c r="O398" s="92">
        <v>0</v>
      </c>
      <c r="P398" s="92">
        <f>SUM(J398:O398)</f>
        <v>0</v>
      </c>
      <c r="Q398" s="92">
        <v>0</v>
      </c>
      <c r="R398" s="92">
        <v>0</v>
      </c>
      <c r="S398" s="92">
        <v>0</v>
      </c>
      <c r="T398" s="92">
        <v>0</v>
      </c>
      <c r="U398" s="92">
        <v>0</v>
      </c>
      <c r="V398" s="94"/>
      <c r="W398" s="94"/>
      <c r="X398" s="49"/>
      <c r="Y398" s="49"/>
      <c r="Z398" s="49"/>
      <c r="AA398" s="49"/>
      <c r="AB398" s="50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</row>
    <row r="399" spans="1:41" s="53" customFormat="1" ht="20.25" customHeight="1">
      <c r="A399" s="47"/>
      <c r="B399" s="115"/>
      <c r="C399" s="20" t="s">
        <v>12</v>
      </c>
      <c r="D399" s="15"/>
      <c r="E399" s="16"/>
      <c r="F399" s="24">
        <f>SUM(F396:F398)</f>
        <v>0</v>
      </c>
      <c r="G399" s="24">
        <f>SUM(G396:G398)</f>
        <v>4</v>
      </c>
      <c r="H399" s="24">
        <f>SUM(H396:H398)</f>
        <v>0</v>
      </c>
      <c r="I399" s="40">
        <f>SUM(F399:H399)</f>
        <v>4</v>
      </c>
      <c r="J399" s="24">
        <f aca="true" t="shared" si="112" ref="J399:O399">SUM(J396:J398)</f>
        <v>0</v>
      </c>
      <c r="K399" s="24">
        <f t="shared" si="112"/>
        <v>0</v>
      </c>
      <c r="L399" s="24">
        <f t="shared" si="112"/>
        <v>0</v>
      </c>
      <c r="M399" s="24">
        <f t="shared" si="112"/>
        <v>0</v>
      </c>
      <c r="N399" s="24">
        <f t="shared" si="112"/>
        <v>0</v>
      </c>
      <c r="O399" s="24">
        <f t="shared" si="112"/>
        <v>0</v>
      </c>
      <c r="P399" s="24">
        <f>SUM(J399:O399)</f>
        <v>0</v>
      </c>
      <c r="Q399" s="24">
        <f>SUM(Q396:Q398)</f>
        <v>0</v>
      </c>
      <c r="R399" s="24">
        <f>SUM(R396:R398)</f>
        <v>4</v>
      </c>
      <c r="S399" s="24">
        <f>SUM(S396:S398)</f>
        <v>0</v>
      </c>
      <c r="T399" s="24">
        <f>SUM(T396:T398)</f>
        <v>0</v>
      </c>
      <c r="U399" s="99">
        <f>SUM(U396:U398)</f>
        <v>0</v>
      </c>
      <c r="V399" s="26">
        <f>IF(I399-Q399=0,"",IF(D399="",(P399+S399)/(I399-Q399),IF(AND(D399&lt;&gt;"",(P399+S399)/(I399-Q399)&gt;=50%),(P399+S399)/(I399-Q399),"")))</f>
        <v>0</v>
      </c>
      <c r="W399" s="26">
        <f>IF(I399=O399,"",IF(V399="",0,(P399+Q399+S399-O399)/(I399-O399)))</f>
        <v>0</v>
      </c>
      <c r="X399" s="49"/>
      <c r="Y399" s="49"/>
      <c r="Z399" s="49"/>
      <c r="AA399" s="49"/>
      <c r="AB399" s="50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</row>
    <row r="400" spans="1:41" s="39" customFormat="1" ht="22.5" customHeight="1">
      <c r="A400" s="32"/>
      <c r="B400" s="115" t="s">
        <v>121</v>
      </c>
      <c r="C400" s="14" t="s">
        <v>161</v>
      </c>
      <c r="D400" s="29" t="s">
        <v>237</v>
      </c>
      <c r="E400" s="16" t="s">
        <v>238</v>
      </c>
      <c r="F400" s="15"/>
      <c r="G400" s="15"/>
      <c r="H400" s="15"/>
      <c r="I400" s="17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19.5" customHeight="1">
      <c r="A401" s="32">
        <v>12</v>
      </c>
      <c r="B401" s="115"/>
      <c r="C401" s="20" t="str">
        <f>IF(A401="","VARA",VLOOKUP(A401,'[1]varas'!$A$4:$B$67,2))</f>
        <v>12ª VT Recife</v>
      </c>
      <c r="D401" s="29"/>
      <c r="E401" s="16"/>
      <c r="F401" s="15">
        <v>10</v>
      </c>
      <c r="G401" s="15">
        <v>0</v>
      </c>
      <c r="H401" s="15">
        <v>0</v>
      </c>
      <c r="I401" s="17">
        <f>SUM(F401:H401)</f>
        <v>10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6</v>
      </c>
      <c r="P401" s="15">
        <f>SUM(J401:O401)</f>
        <v>6</v>
      </c>
      <c r="Q401" s="15">
        <v>4</v>
      </c>
      <c r="R401" s="15">
        <v>0</v>
      </c>
      <c r="S401" s="15">
        <v>0</v>
      </c>
      <c r="T401" s="15">
        <v>0</v>
      </c>
      <c r="U401" s="15">
        <v>19</v>
      </c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19.5" customHeight="1">
      <c r="A402" s="32">
        <v>48</v>
      </c>
      <c r="B402" s="115"/>
      <c r="C402" s="20" t="str">
        <f>IF(A402="","VARA",VLOOKUP(A402,'[1]varas'!$A$4:$B$67,2))</f>
        <v>VT Catende</v>
      </c>
      <c r="D402" s="29"/>
      <c r="E402" s="16"/>
      <c r="F402" s="15">
        <v>0</v>
      </c>
      <c r="G402" s="15">
        <v>18</v>
      </c>
      <c r="H402" s="15">
        <v>2</v>
      </c>
      <c r="I402" s="17">
        <f>SUM(F402:H402)</f>
        <v>20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f>SUM(J402:O402)</f>
        <v>0</v>
      </c>
      <c r="Q402" s="15">
        <v>0</v>
      </c>
      <c r="R402" s="15">
        <v>20</v>
      </c>
      <c r="S402" s="15">
        <v>0</v>
      </c>
      <c r="T402" s="15">
        <v>0</v>
      </c>
      <c r="U402" s="15">
        <v>0</v>
      </c>
      <c r="V402" s="18"/>
      <c r="W402" s="18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17.25" customHeight="1">
      <c r="A403" s="32">
        <v>24</v>
      </c>
      <c r="B403" s="115"/>
      <c r="C403" s="20" t="str">
        <f>IF(A403="","VARA",VLOOKUP(A403,'[1]varas'!$A$4:$B$67,2))</f>
        <v>1ª VT Barreiros</v>
      </c>
      <c r="D403" s="29"/>
      <c r="E403" s="16"/>
      <c r="F403" s="15">
        <f>57+48+8</f>
        <v>113</v>
      </c>
      <c r="G403" s="15">
        <v>0</v>
      </c>
      <c r="H403" s="15">
        <v>0</v>
      </c>
      <c r="I403" s="17">
        <f>SUM(F403:H403)</f>
        <v>113</v>
      </c>
      <c r="J403" s="15">
        <v>31</v>
      </c>
      <c r="K403" s="15">
        <v>22</v>
      </c>
      <c r="L403" s="15">
        <v>7</v>
      </c>
      <c r="M403" s="15">
        <v>1</v>
      </c>
      <c r="N403" s="15">
        <v>0</v>
      </c>
      <c r="O403" s="15">
        <v>48</v>
      </c>
      <c r="P403" s="15">
        <f>SUM(J403:O403)</f>
        <v>109</v>
      </c>
      <c r="Q403" s="15">
        <v>4</v>
      </c>
      <c r="R403" s="15">
        <v>0</v>
      </c>
      <c r="S403" s="15">
        <v>0</v>
      </c>
      <c r="T403" s="15">
        <v>0</v>
      </c>
      <c r="U403" s="15">
        <v>153</v>
      </c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19.5" customHeight="1">
      <c r="A404" s="32"/>
      <c r="B404" s="115"/>
      <c r="C404" s="20" t="s">
        <v>12</v>
      </c>
      <c r="D404" s="15"/>
      <c r="E404" s="16"/>
      <c r="F404" s="24">
        <f>SUM(F400:F403)</f>
        <v>123</v>
      </c>
      <c r="G404" s="24">
        <f>SUM(G400:G403)</f>
        <v>18</v>
      </c>
      <c r="H404" s="24">
        <f>SUM(H400:H403)</f>
        <v>2</v>
      </c>
      <c r="I404" s="40">
        <f>SUM(F404:H404)</f>
        <v>143</v>
      </c>
      <c r="J404" s="24">
        <f aca="true" t="shared" si="113" ref="J404:O404">SUM(J400:J403)</f>
        <v>31</v>
      </c>
      <c r="K404" s="24">
        <f t="shared" si="113"/>
        <v>22</v>
      </c>
      <c r="L404" s="24">
        <f t="shared" si="113"/>
        <v>7</v>
      </c>
      <c r="M404" s="24">
        <f t="shared" si="113"/>
        <v>1</v>
      </c>
      <c r="N404" s="24">
        <f t="shared" si="113"/>
        <v>0</v>
      </c>
      <c r="O404" s="24">
        <f t="shared" si="113"/>
        <v>54</v>
      </c>
      <c r="P404" s="24">
        <f>SUM(J404:O404)</f>
        <v>115</v>
      </c>
      <c r="Q404" s="24">
        <f>SUM(Q400:Q403)</f>
        <v>8</v>
      </c>
      <c r="R404" s="24">
        <f>SUM(R400:R403)</f>
        <v>20</v>
      </c>
      <c r="S404" s="24">
        <f>SUM(S400:S403)</f>
        <v>0</v>
      </c>
      <c r="T404" s="24">
        <f>SUM(T400:T403)</f>
        <v>0</v>
      </c>
      <c r="U404" s="99">
        <f>SUM(U401:U403)</f>
        <v>172</v>
      </c>
      <c r="V404" s="26">
        <f>IF(I404-Q404=0,"",IF(D404="",(P404+S404)/(I404-Q404),IF(AND(D404&lt;&gt;"",(P404+S404)/(I404-Q404)&gt;=50%),(P404+S404)/(I404-Q404),"")))</f>
        <v>0.8518518518518519</v>
      </c>
      <c r="W404" s="26">
        <f>IF(I404=O404,"",IF(V404="",0,(P404+Q404+S404-O404)/(I404-O404)))</f>
        <v>0.7752808988764045</v>
      </c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0.25" customHeight="1">
      <c r="A405" s="32"/>
      <c r="B405" s="115" t="s">
        <v>122</v>
      </c>
      <c r="C405" s="14" t="s">
        <v>2</v>
      </c>
      <c r="D405" s="29" t="s">
        <v>43</v>
      </c>
      <c r="E405" s="16" t="s">
        <v>239</v>
      </c>
      <c r="F405" s="15"/>
      <c r="G405" s="15"/>
      <c r="H405" s="15"/>
      <c r="I405" s="17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16.5" customHeight="1">
      <c r="A406" s="32">
        <v>49</v>
      </c>
      <c r="B406" s="115"/>
      <c r="C406" s="20" t="str">
        <f>IF(A406="","VARA",VLOOKUP(A406,'[1]varas'!$A$4:$B$67,2))</f>
        <v>VT Escada</v>
      </c>
      <c r="D406" s="15"/>
      <c r="E406" s="16"/>
      <c r="F406" s="15">
        <f>65+85+7+38</f>
        <v>195</v>
      </c>
      <c r="G406" s="15">
        <v>2</v>
      </c>
      <c r="H406" s="15">
        <v>0</v>
      </c>
      <c r="I406" s="17">
        <f>SUM(F406:H406)</f>
        <v>197</v>
      </c>
      <c r="J406" s="15">
        <v>15</v>
      </c>
      <c r="K406" s="15">
        <v>52</v>
      </c>
      <c r="L406" s="15">
        <v>7</v>
      </c>
      <c r="M406" s="15">
        <v>38</v>
      </c>
      <c r="N406" s="15">
        <v>0</v>
      </c>
      <c r="O406" s="15">
        <v>85</v>
      </c>
      <c r="P406" s="15">
        <f>SUM(J406:O406)</f>
        <v>197</v>
      </c>
      <c r="Q406" s="15">
        <v>0</v>
      </c>
      <c r="R406" s="15">
        <v>0</v>
      </c>
      <c r="S406" s="15">
        <v>0</v>
      </c>
      <c r="T406" s="15">
        <v>0</v>
      </c>
      <c r="U406" s="15">
        <v>225</v>
      </c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18" customHeight="1">
      <c r="A407" s="32"/>
      <c r="B407" s="121"/>
      <c r="C407" s="21" t="s">
        <v>12</v>
      </c>
      <c r="D407" s="33"/>
      <c r="E407" s="23"/>
      <c r="F407" s="24">
        <f>SUM(F405:F406)</f>
        <v>195</v>
      </c>
      <c r="G407" s="24">
        <f>SUM(G405:G406)</f>
        <v>2</v>
      </c>
      <c r="H407" s="24">
        <f>SUM(H405:H406)</f>
        <v>0</v>
      </c>
      <c r="I407" s="25">
        <f>SUM(F407:H407)</f>
        <v>197</v>
      </c>
      <c r="J407" s="24">
        <f aca="true" t="shared" si="114" ref="J407:O407">SUM(J405:J406)</f>
        <v>15</v>
      </c>
      <c r="K407" s="24">
        <f t="shared" si="114"/>
        <v>52</v>
      </c>
      <c r="L407" s="24">
        <f t="shared" si="114"/>
        <v>7</v>
      </c>
      <c r="M407" s="24">
        <f t="shared" si="114"/>
        <v>38</v>
      </c>
      <c r="N407" s="24">
        <f t="shared" si="114"/>
        <v>0</v>
      </c>
      <c r="O407" s="24">
        <f t="shared" si="114"/>
        <v>85</v>
      </c>
      <c r="P407" s="24">
        <f>SUM(J407:O407)</f>
        <v>197</v>
      </c>
      <c r="Q407" s="24">
        <f>SUM(Q405:Q406)</f>
        <v>0</v>
      </c>
      <c r="R407" s="24">
        <f>SUM(R405:R406)</f>
        <v>0</v>
      </c>
      <c r="S407" s="24">
        <f>SUM(S405:S406)</f>
        <v>0</v>
      </c>
      <c r="T407" s="24">
        <f>SUM(T405:T406)</f>
        <v>0</v>
      </c>
      <c r="U407" s="24">
        <f>SUM(U405:U406)</f>
        <v>225</v>
      </c>
      <c r="V407" s="26">
        <f>IF(I407-Q407=0,"",IF(D407="",(P407+S407)/(I407-Q407),IF(AND(D407&lt;&gt;"",(P407+S407)/(I407-Q407)&gt;=50%),(P407+S407)/(I407-Q407),"")))</f>
        <v>1</v>
      </c>
      <c r="W407" s="26">
        <f>IF(I407=O407,"",IF(V407="",0,(P407+Q407+S407-O407)/(I407-O407)))</f>
        <v>1</v>
      </c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23.25" customHeight="1">
      <c r="A408" s="32"/>
      <c r="B408" s="122" t="s">
        <v>123</v>
      </c>
      <c r="C408" s="14" t="s">
        <v>2</v>
      </c>
      <c r="D408" s="29"/>
      <c r="E408" s="16" t="s">
        <v>27</v>
      </c>
      <c r="F408" s="15"/>
      <c r="G408" s="15"/>
      <c r="H408" s="15"/>
      <c r="I408" s="17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3.25" customHeight="1">
      <c r="A409" s="32">
        <v>10</v>
      </c>
      <c r="B409" s="122"/>
      <c r="C409" s="20" t="str">
        <f>IF(A409="","VARA",VLOOKUP(A409,'[1]varas'!$A$4:$B$67,2))</f>
        <v>10ª VT Recife</v>
      </c>
      <c r="D409" s="15"/>
      <c r="E409" s="16"/>
      <c r="F409" s="15">
        <f>60+34+16+9</f>
        <v>119</v>
      </c>
      <c r="G409" s="15">
        <v>0</v>
      </c>
      <c r="H409" s="15">
        <v>19</v>
      </c>
      <c r="I409" s="17">
        <f>SUM(F409:H409)</f>
        <v>138</v>
      </c>
      <c r="J409" s="15">
        <v>49</v>
      </c>
      <c r="K409" s="15">
        <v>13</v>
      </c>
      <c r="L409" s="15">
        <v>16</v>
      </c>
      <c r="M409" s="15">
        <v>9</v>
      </c>
      <c r="N409" s="15">
        <v>0</v>
      </c>
      <c r="O409" s="15">
        <v>34</v>
      </c>
      <c r="P409" s="15">
        <f>SUM(J409:O409)</f>
        <v>121</v>
      </c>
      <c r="Q409" s="15">
        <v>0</v>
      </c>
      <c r="R409" s="15">
        <v>17</v>
      </c>
      <c r="S409" s="15">
        <v>0</v>
      </c>
      <c r="T409" s="15">
        <v>0</v>
      </c>
      <c r="U409" s="15">
        <v>189</v>
      </c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17.25" customHeight="1">
      <c r="A410" s="32">
        <v>41</v>
      </c>
      <c r="B410" s="115"/>
      <c r="C410" s="20" t="str">
        <f>IF(A410="","VARA",VLOOKUP(A410,'[1]varas'!$A$4:$B$67,2))</f>
        <v>1ª VT Paulista</v>
      </c>
      <c r="D410" s="15"/>
      <c r="E410" s="16"/>
      <c r="F410" s="15">
        <v>0</v>
      </c>
      <c r="G410" s="15">
        <v>2</v>
      </c>
      <c r="H410" s="15">
        <v>0</v>
      </c>
      <c r="I410" s="17">
        <f>SUM(F410:H410)</f>
        <v>2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f>SUM(J410:O410)</f>
        <v>0</v>
      </c>
      <c r="Q410" s="15">
        <v>0</v>
      </c>
      <c r="R410" s="15">
        <v>2</v>
      </c>
      <c r="S410" s="15">
        <v>0</v>
      </c>
      <c r="T410" s="15">
        <v>0</v>
      </c>
      <c r="U410" s="15">
        <v>0</v>
      </c>
      <c r="V410" s="18"/>
      <c r="W410" s="18"/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16.5" customHeight="1">
      <c r="A411" s="32"/>
      <c r="B411" s="115"/>
      <c r="C411" s="21" t="s">
        <v>12</v>
      </c>
      <c r="D411" s="33"/>
      <c r="E411" s="23"/>
      <c r="F411" s="24">
        <f>SUM(F408:F410)</f>
        <v>119</v>
      </c>
      <c r="G411" s="24">
        <f>SUM(G408:G410)</f>
        <v>2</v>
      </c>
      <c r="H411" s="24">
        <f>SUM(H408:H410)</f>
        <v>19</v>
      </c>
      <c r="I411" s="40">
        <f>SUM(F411:H411)</f>
        <v>140</v>
      </c>
      <c r="J411" s="24">
        <f aca="true" t="shared" si="115" ref="J411:O411">SUM(J408:J410)</f>
        <v>49</v>
      </c>
      <c r="K411" s="24">
        <f t="shared" si="115"/>
        <v>13</v>
      </c>
      <c r="L411" s="24">
        <f t="shared" si="115"/>
        <v>16</v>
      </c>
      <c r="M411" s="24">
        <f t="shared" si="115"/>
        <v>9</v>
      </c>
      <c r="N411" s="24">
        <f t="shared" si="115"/>
        <v>0</v>
      </c>
      <c r="O411" s="24">
        <f t="shared" si="115"/>
        <v>34</v>
      </c>
      <c r="P411" s="24">
        <f>SUM(J411:O411)</f>
        <v>121</v>
      </c>
      <c r="Q411" s="24">
        <f>SUM(Q408:Q410)</f>
        <v>0</v>
      </c>
      <c r="R411" s="24">
        <f>SUM(R408:R410)</f>
        <v>19</v>
      </c>
      <c r="S411" s="24">
        <f>SUM(S408:S410)</f>
        <v>0</v>
      </c>
      <c r="T411" s="24">
        <f>SUM(T408:T410)</f>
        <v>0</v>
      </c>
      <c r="U411" s="24">
        <f>SUM(U408:U410)</f>
        <v>189</v>
      </c>
      <c r="V411" s="26">
        <f>IF(I411-Q411=0,"",IF(D411="",(P411+S411)/(I411-Q411),IF(AND(D411&lt;&gt;"",(P411+S411)/(I411-Q411)&gt;=50%),(P411+S411)/(I411-Q411),"")))</f>
        <v>0.8642857142857143</v>
      </c>
      <c r="W411" s="26">
        <f>IF(I411=O411,"",IF(V411="",0,(P411+Q411+S411-O411)/(I411-O411)))</f>
        <v>0.8207547169811321</v>
      </c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19.5" customHeight="1">
      <c r="A412" s="32"/>
      <c r="B412" s="115" t="s">
        <v>189</v>
      </c>
      <c r="C412" s="14" t="s">
        <v>161</v>
      </c>
      <c r="D412" s="29"/>
      <c r="E412" s="16" t="s">
        <v>27</v>
      </c>
      <c r="F412" s="15"/>
      <c r="G412" s="15"/>
      <c r="H412" s="15"/>
      <c r="I412" s="17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8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16.5" customHeight="1">
      <c r="A413" s="32">
        <v>26</v>
      </c>
      <c r="B413" s="115"/>
      <c r="C413" s="20" t="str">
        <f>IF(A413="","VARA",VLOOKUP(A413,'[1]varas'!$A$4:$B$67,2))</f>
        <v>1ª VT Cabo</v>
      </c>
      <c r="D413" s="29"/>
      <c r="E413" s="16"/>
      <c r="F413" s="15">
        <v>0</v>
      </c>
      <c r="G413" s="15">
        <v>5</v>
      </c>
      <c r="H413" s="15">
        <v>0</v>
      </c>
      <c r="I413" s="17">
        <f>SUM(F413:H413)</f>
        <v>5</v>
      </c>
      <c r="J413" s="15">
        <v>5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f>SUM(J413:O413)</f>
        <v>5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8"/>
      <c r="W413" s="18"/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16.5" customHeight="1">
      <c r="A414" s="32">
        <v>27</v>
      </c>
      <c r="B414" s="115"/>
      <c r="C414" s="20" t="str">
        <f>IF(A414="","VARA",VLOOKUP(A414,'[1]varas'!$A$4:$B$67,2))</f>
        <v>2ª VT Cabo</v>
      </c>
      <c r="D414" s="29"/>
      <c r="E414" s="16"/>
      <c r="F414" s="15">
        <f>90+32</f>
        <v>122</v>
      </c>
      <c r="G414" s="15">
        <v>6</v>
      </c>
      <c r="H414" s="15">
        <v>0</v>
      </c>
      <c r="I414" s="17">
        <f>SUM(F414:H414)</f>
        <v>128</v>
      </c>
      <c r="J414" s="15">
        <v>9</v>
      </c>
      <c r="K414" s="15">
        <v>51</v>
      </c>
      <c r="L414" s="15">
        <v>1</v>
      </c>
      <c r="M414" s="15">
        <v>0</v>
      </c>
      <c r="N414" s="15">
        <v>0</v>
      </c>
      <c r="O414" s="15">
        <v>31</v>
      </c>
      <c r="P414" s="15">
        <f>SUM(J414:O414)</f>
        <v>92</v>
      </c>
      <c r="Q414" s="15">
        <v>15</v>
      </c>
      <c r="R414" s="15">
        <v>21</v>
      </c>
      <c r="S414" s="15">
        <v>0</v>
      </c>
      <c r="T414" s="15">
        <v>0</v>
      </c>
      <c r="U414" s="15">
        <v>191</v>
      </c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16.5" customHeight="1">
      <c r="A415" s="32"/>
      <c r="B415" s="115"/>
      <c r="C415" s="20" t="s">
        <v>12</v>
      </c>
      <c r="D415" s="15"/>
      <c r="E415" s="48"/>
      <c r="F415" s="24">
        <f>SUM(F412:F414)</f>
        <v>122</v>
      </c>
      <c r="G415" s="24">
        <f>SUM(G412:G414)</f>
        <v>11</v>
      </c>
      <c r="H415" s="24">
        <f>SUM(H412:H414)</f>
        <v>0</v>
      </c>
      <c r="I415" s="40">
        <f>SUM(F415:H415)</f>
        <v>133</v>
      </c>
      <c r="J415" s="24">
        <f aca="true" t="shared" si="116" ref="J415:O415">SUM(J412:J414)</f>
        <v>14</v>
      </c>
      <c r="K415" s="24">
        <f t="shared" si="116"/>
        <v>51</v>
      </c>
      <c r="L415" s="24">
        <f t="shared" si="116"/>
        <v>1</v>
      </c>
      <c r="M415" s="24">
        <f t="shared" si="116"/>
        <v>0</v>
      </c>
      <c r="N415" s="24">
        <f t="shared" si="116"/>
        <v>0</v>
      </c>
      <c r="O415" s="24">
        <f t="shared" si="116"/>
        <v>31</v>
      </c>
      <c r="P415" s="24">
        <f>SUM(J415:O415)</f>
        <v>97</v>
      </c>
      <c r="Q415" s="24">
        <f>SUM(Q412:Q414)</f>
        <v>15</v>
      </c>
      <c r="R415" s="24">
        <f>SUM(R412:R414)</f>
        <v>21</v>
      </c>
      <c r="S415" s="24">
        <f>SUM(S412:S414)</f>
        <v>0</v>
      </c>
      <c r="T415" s="24">
        <f>SUM(T412:T414)</f>
        <v>0</v>
      </c>
      <c r="U415" s="24">
        <f>SUM(U412:U414)</f>
        <v>191</v>
      </c>
      <c r="V415" s="26">
        <f>IF(I415-Q415=0,"",IF(D415="",(P415+S415)/(I415-Q415),IF(AND(D415&lt;&gt;"",(P415+S415)/(I415-Q415)&gt;=50%),(P415+S415)/(I415-Q415),"")))</f>
        <v>0.8220338983050848</v>
      </c>
      <c r="W415" s="26">
        <f>IF(I415=O415,"",IF(V415="",0,(P415+Q415+S415-O415)/(I415-O415)))</f>
        <v>0.7941176470588235</v>
      </c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1.75" customHeight="1">
      <c r="A416" s="32"/>
      <c r="B416" s="115" t="s">
        <v>124</v>
      </c>
      <c r="C416" s="14" t="s">
        <v>161</v>
      </c>
      <c r="D416" s="29" t="s">
        <v>163</v>
      </c>
      <c r="E416" s="16" t="s">
        <v>190</v>
      </c>
      <c r="F416" s="15"/>
      <c r="G416" s="15"/>
      <c r="H416" s="15"/>
      <c r="I416" s="17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8"/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1.75" customHeight="1">
      <c r="A417" s="32">
        <v>37</v>
      </c>
      <c r="B417" s="115"/>
      <c r="C417" s="20" t="str">
        <f>IF(A417="","VARA",VLOOKUP(A417,'[1]varas'!$A$4:$B$67,2))</f>
        <v>4ª VT Jaboatão</v>
      </c>
      <c r="D417" s="29"/>
      <c r="E417" s="16"/>
      <c r="F417" s="15">
        <v>0</v>
      </c>
      <c r="G417" s="15">
        <v>0</v>
      </c>
      <c r="H417" s="15">
        <v>0</v>
      </c>
      <c r="I417" s="17">
        <f>SUM(F417:H417)</f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f>SUM(J417:O417)</f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8"/>
      <c r="W417" s="18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15" customHeight="1">
      <c r="A418" s="32"/>
      <c r="B418" s="115"/>
      <c r="C418" s="20" t="s">
        <v>12</v>
      </c>
      <c r="D418" s="15"/>
      <c r="E418" s="48"/>
      <c r="F418" s="24">
        <f>SUM(F416:F417)</f>
        <v>0</v>
      </c>
      <c r="G418" s="24">
        <f>SUM(G416:G417)</f>
        <v>0</v>
      </c>
      <c r="H418" s="24">
        <f>SUM(H416:H417)</f>
        <v>0</v>
      </c>
      <c r="I418" s="40">
        <f>SUM(F418:H418)</f>
        <v>0</v>
      </c>
      <c r="J418" s="24">
        <f aca="true" t="shared" si="117" ref="J418:O418">SUM(J416:J417)</f>
        <v>0</v>
      </c>
      <c r="K418" s="24">
        <f t="shared" si="117"/>
        <v>0</v>
      </c>
      <c r="L418" s="24">
        <f t="shared" si="117"/>
        <v>0</v>
      </c>
      <c r="M418" s="24">
        <f t="shared" si="117"/>
        <v>0</v>
      </c>
      <c r="N418" s="24">
        <f t="shared" si="117"/>
        <v>0</v>
      </c>
      <c r="O418" s="24">
        <f t="shared" si="117"/>
        <v>0</v>
      </c>
      <c r="P418" s="24">
        <f>SUM(J418:O418)</f>
        <v>0</v>
      </c>
      <c r="Q418" s="24">
        <f>SUM(Q416:Q417)</f>
        <v>0</v>
      </c>
      <c r="R418" s="24">
        <f>SUM(R416:R417)</f>
        <v>0</v>
      </c>
      <c r="S418" s="24">
        <f>SUM(S416:S417)</f>
        <v>0</v>
      </c>
      <c r="T418" s="24">
        <f>SUM(T416:T417)</f>
        <v>0</v>
      </c>
      <c r="U418" s="24">
        <f>SUM(U416:U417)</f>
        <v>0</v>
      </c>
      <c r="V418" s="26">
        <f>IF(I418-Q418=0,"",IF(D418="",(P418+S418)/(I418-Q418),IF(AND(D418&lt;&gt;"",(P418+S418)/(I418-Q418)&gt;=50%),(P418+S418)/(I418-Q418),"")))</f>
      </c>
      <c r="W418" s="26">
        <f>IF(I418=O418,"",IF(V418="",0,(P418+Q418+S418-O418)/(I418-O418)))</f>
      </c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24" customHeight="1">
      <c r="A419" s="32"/>
      <c r="B419" s="115" t="s">
        <v>125</v>
      </c>
      <c r="C419" s="14" t="s">
        <v>2</v>
      </c>
      <c r="D419" s="29"/>
      <c r="E419" s="16" t="s">
        <v>27</v>
      </c>
      <c r="F419" s="15"/>
      <c r="G419" s="15"/>
      <c r="H419" s="15"/>
      <c r="I419" s="17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8"/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22.5" customHeight="1">
      <c r="A420" s="32">
        <v>65</v>
      </c>
      <c r="B420" s="115"/>
      <c r="C420" s="20" t="str">
        <f>IF(A420="","VARA",VLOOKUP(A420,'[1]varas'!$A$4:$B$76,2))</f>
        <v>3ª VT Ipojuca</v>
      </c>
      <c r="D420" s="15"/>
      <c r="E420" s="16"/>
      <c r="F420" s="15">
        <f>38+7+10</f>
        <v>55</v>
      </c>
      <c r="G420" s="15">
        <v>1</v>
      </c>
      <c r="H420" s="15">
        <v>27</v>
      </c>
      <c r="I420" s="17">
        <f>SUM(F420:H420)</f>
        <v>83</v>
      </c>
      <c r="J420" s="15">
        <v>33</v>
      </c>
      <c r="K420" s="15">
        <v>1</v>
      </c>
      <c r="L420" s="15">
        <v>10</v>
      </c>
      <c r="M420" s="15">
        <v>0</v>
      </c>
      <c r="N420" s="15">
        <v>0</v>
      </c>
      <c r="O420" s="15">
        <v>7</v>
      </c>
      <c r="P420" s="15">
        <f>SUM(J420:O420)</f>
        <v>51</v>
      </c>
      <c r="Q420" s="15">
        <v>15</v>
      </c>
      <c r="R420" s="15">
        <v>17</v>
      </c>
      <c r="S420" s="15">
        <v>0</v>
      </c>
      <c r="T420" s="15">
        <v>0</v>
      </c>
      <c r="U420" s="15">
        <v>149</v>
      </c>
      <c r="V420" s="18"/>
      <c r="W420" s="18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18.75" customHeight="1">
      <c r="A421" s="32"/>
      <c r="B421" s="115"/>
      <c r="C421" s="21" t="s">
        <v>12</v>
      </c>
      <c r="D421" s="33"/>
      <c r="E421" s="52"/>
      <c r="F421" s="24">
        <f>SUM(F419:F420)</f>
        <v>55</v>
      </c>
      <c r="G421" s="24">
        <f>SUM(G419:G420)</f>
        <v>1</v>
      </c>
      <c r="H421" s="24">
        <f>SUM(H419:H420)</f>
        <v>27</v>
      </c>
      <c r="I421" s="25">
        <f>SUM(F421:H421)</f>
        <v>83</v>
      </c>
      <c r="J421" s="24">
        <f aca="true" t="shared" si="118" ref="J421:O421">SUM(J419:J420)</f>
        <v>33</v>
      </c>
      <c r="K421" s="24">
        <f t="shared" si="118"/>
        <v>1</v>
      </c>
      <c r="L421" s="24">
        <f t="shared" si="118"/>
        <v>10</v>
      </c>
      <c r="M421" s="24">
        <f t="shared" si="118"/>
        <v>0</v>
      </c>
      <c r="N421" s="24">
        <f t="shared" si="118"/>
        <v>0</v>
      </c>
      <c r="O421" s="24">
        <f t="shared" si="118"/>
        <v>7</v>
      </c>
      <c r="P421" s="24">
        <f>SUM(J421:O421)</f>
        <v>51</v>
      </c>
      <c r="Q421" s="24">
        <f>SUM(Q419:Q420)</f>
        <v>15</v>
      </c>
      <c r="R421" s="24">
        <f>SUM(R419:R420)</f>
        <v>17</v>
      </c>
      <c r="S421" s="24">
        <f>SUM(S419:S420)</f>
        <v>0</v>
      </c>
      <c r="T421" s="24">
        <f>SUM(T419:T420)</f>
        <v>0</v>
      </c>
      <c r="U421" s="24">
        <f>SUM(U419:U420)</f>
        <v>149</v>
      </c>
      <c r="V421" s="26">
        <f>IF(I421-Q421=0,"",IF(D421="",(P421+S421)/(I421-Q421),IF(AND(D421&lt;&gt;"",(P421+S421)/(I421-Q421)&gt;=50%),(P421+S421)/(I421-Q421),"")))</f>
        <v>0.75</v>
      </c>
      <c r="W421" s="26">
        <f>IF(I421=O421,"",IF(V421="",0,(P421+Q421+S421-O421)/(I421-O421)))</f>
        <v>0.7763157894736842</v>
      </c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4.75" customHeight="1">
      <c r="A422" s="32"/>
      <c r="B422" s="115" t="s">
        <v>126</v>
      </c>
      <c r="C422" s="14" t="s">
        <v>2</v>
      </c>
      <c r="D422" s="29" t="s">
        <v>240</v>
      </c>
      <c r="E422" s="16" t="s">
        <v>241</v>
      </c>
      <c r="F422" s="15"/>
      <c r="G422" s="15"/>
      <c r="H422" s="15"/>
      <c r="I422" s="17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8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4.75" customHeight="1">
      <c r="A423" s="32">
        <v>35</v>
      </c>
      <c r="B423" s="115"/>
      <c r="C423" s="20" t="str">
        <f>IF(A423="","VARA",VLOOKUP(A423,'[1]varas'!$A$4:$B$67,2))</f>
        <v>2ª VT Jaboatão</v>
      </c>
      <c r="D423" s="15"/>
      <c r="E423" s="16"/>
      <c r="F423" s="15">
        <f>16+10+5+29</f>
        <v>60</v>
      </c>
      <c r="G423" s="15">
        <v>0</v>
      </c>
      <c r="H423" s="15">
        <v>0</v>
      </c>
      <c r="I423" s="17">
        <f>SUM(F423:H423)</f>
        <v>60</v>
      </c>
      <c r="J423" s="15">
        <v>11</v>
      </c>
      <c r="K423" s="15">
        <v>5</v>
      </c>
      <c r="L423" s="15">
        <v>5</v>
      </c>
      <c r="M423" s="15">
        <v>29</v>
      </c>
      <c r="N423" s="15">
        <v>0</v>
      </c>
      <c r="O423" s="15">
        <v>10</v>
      </c>
      <c r="P423" s="15">
        <f>SUM(J423:O423)</f>
        <v>60</v>
      </c>
      <c r="Q423" s="15">
        <v>0</v>
      </c>
      <c r="R423" s="15">
        <v>0</v>
      </c>
      <c r="S423" s="15">
        <v>0</v>
      </c>
      <c r="T423" s="15">
        <v>0</v>
      </c>
      <c r="U423" s="15">
        <v>66</v>
      </c>
      <c r="V423" s="18"/>
      <c r="W423" s="18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0.25" customHeight="1">
      <c r="A424" s="32"/>
      <c r="B424" s="115"/>
      <c r="C424" s="21" t="s">
        <v>12</v>
      </c>
      <c r="D424" s="33"/>
      <c r="E424" s="23"/>
      <c r="F424" s="24">
        <f>SUM(F422:F423)</f>
        <v>60</v>
      </c>
      <c r="G424" s="24">
        <f>SUM(G422:G423)</f>
        <v>0</v>
      </c>
      <c r="H424" s="24">
        <f>SUM(H422:H423)</f>
        <v>0</v>
      </c>
      <c r="I424" s="25">
        <f>SUM(F424:H424)</f>
        <v>60</v>
      </c>
      <c r="J424" s="24">
        <f aca="true" t="shared" si="119" ref="J424:O424">SUM(J422:J423)</f>
        <v>11</v>
      </c>
      <c r="K424" s="24">
        <f t="shared" si="119"/>
        <v>5</v>
      </c>
      <c r="L424" s="24">
        <f t="shared" si="119"/>
        <v>5</v>
      </c>
      <c r="M424" s="24">
        <f t="shared" si="119"/>
        <v>29</v>
      </c>
      <c r="N424" s="24">
        <f t="shared" si="119"/>
        <v>0</v>
      </c>
      <c r="O424" s="24">
        <f t="shared" si="119"/>
        <v>10</v>
      </c>
      <c r="P424" s="24">
        <f>SUM(J424:O424)</f>
        <v>60</v>
      </c>
      <c r="Q424" s="24">
        <f>SUM(Q422:Q423)</f>
        <v>0</v>
      </c>
      <c r="R424" s="24">
        <f>SUM(R422:R423)</f>
        <v>0</v>
      </c>
      <c r="S424" s="24">
        <f>SUM(S422:S423)</f>
        <v>0</v>
      </c>
      <c r="T424" s="24">
        <f>SUM(T422:T423)</f>
        <v>0</v>
      </c>
      <c r="U424" s="24">
        <f>SUM(U422:U423)</f>
        <v>66</v>
      </c>
      <c r="V424" s="26">
        <f>IF(I424-Q424=0,"",IF(D424="",(P424+S424)/(I424-Q424),IF(AND(D424&lt;&gt;"",(P424+S424)/(I424-Q424)&gt;=50%),(P424+S424)/(I424-Q424),"")))</f>
        <v>1</v>
      </c>
      <c r="W424" s="26">
        <f>IF(I424=O424,"",IF(V424="",0,(P424+Q424+S424-O424)/(I424-O424)))</f>
        <v>1</v>
      </c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25.5" customHeight="1">
      <c r="A425" s="32"/>
      <c r="B425" s="115" t="s">
        <v>127</v>
      </c>
      <c r="C425" s="14" t="s">
        <v>2</v>
      </c>
      <c r="D425" s="29"/>
      <c r="E425" s="16" t="s">
        <v>27</v>
      </c>
      <c r="F425" s="15"/>
      <c r="G425" s="15"/>
      <c r="H425" s="15"/>
      <c r="I425" s="17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8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18" customHeight="1">
      <c r="A426" s="32">
        <v>4</v>
      </c>
      <c r="B426" s="115"/>
      <c r="C426" s="20" t="str">
        <f>IF(A426="","VARA",VLOOKUP(A426,'[1]varas'!$A$4:$B$102,2))</f>
        <v>4ª VT Recife</v>
      </c>
      <c r="D426" s="29"/>
      <c r="E426" s="16"/>
      <c r="F426" s="15">
        <f>89+34+21</f>
        <v>144</v>
      </c>
      <c r="G426" s="15">
        <v>6</v>
      </c>
      <c r="H426" s="15">
        <v>31</v>
      </c>
      <c r="I426" s="17">
        <f>SUM(F426:H426)</f>
        <v>181</v>
      </c>
      <c r="J426" s="15">
        <v>84</v>
      </c>
      <c r="K426" s="15">
        <v>4</v>
      </c>
      <c r="L426" s="15">
        <v>21</v>
      </c>
      <c r="M426" s="15">
        <v>0</v>
      </c>
      <c r="N426" s="15">
        <v>0</v>
      </c>
      <c r="O426" s="15">
        <v>34</v>
      </c>
      <c r="P426" s="15">
        <f>SUM(J426:O426)</f>
        <v>143</v>
      </c>
      <c r="Q426" s="15">
        <v>0</v>
      </c>
      <c r="R426" s="15">
        <v>38</v>
      </c>
      <c r="S426" s="15">
        <v>0</v>
      </c>
      <c r="T426" s="15">
        <v>0</v>
      </c>
      <c r="U426" s="15">
        <v>149</v>
      </c>
      <c r="V426" s="18"/>
      <c r="W426" s="18"/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0.25" customHeight="1">
      <c r="A427" s="32"/>
      <c r="B427" s="115"/>
      <c r="C427" s="21" t="s">
        <v>12</v>
      </c>
      <c r="D427" s="33"/>
      <c r="E427" s="23"/>
      <c r="F427" s="24">
        <f>SUM(F425:F426)</f>
        <v>144</v>
      </c>
      <c r="G427" s="24">
        <f>SUM(G425:G426)</f>
        <v>6</v>
      </c>
      <c r="H427" s="24">
        <f>SUM(H425:H426)</f>
        <v>31</v>
      </c>
      <c r="I427" s="25">
        <f>SUM(F427:H427)</f>
        <v>181</v>
      </c>
      <c r="J427" s="24">
        <f aca="true" t="shared" si="120" ref="J427:O427">SUM(J425:J426)</f>
        <v>84</v>
      </c>
      <c r="K427" s="24">
        <f t="shared" si="120"/>
        <v>4</v>
      </c>
      <c r="L427" s="24">
        <f t="shared" si="120"/>
        <v>21</v>
      </c>
      <c r="M427" s="24">
        <f t="shared" si="120"/>
        <v>0</v>
      </c>
      <c r="N427" s="24">
        <f t="shared" si="120"/>
        <v>0</v>
      </c>
      <c r="O427" s="24">
        <f t="shared" si="120"/>
        <v>34</v>
      </c>
      <c r="P427" s="24">
        <f>SUM(J427:O427)</f>
        <v>143</v>
      </c>
      <c r="Q427" s="24">
        <f>SUM(Q425:Q426)</f>
        <v>0</v>
      </c>
      <c r="R427" s="24">
        <f>SUM(R425:R426)</f>
        <v>38</v>
      </c>
      <c r="S427" s="24">
        <f>SUM(S425:S426)</f>
        <v>0</v>
      </c>
      <c r="T427" s="24">
        <f>SUM(T425:T426)</f>
        <v>0</v>
      </c>
      <c r="U427" s="24">
        <f>SUM(U425:U426)</f>
        <v>149</v>
      </c>
      <c r="V427" s="26">
        <f>IF(I427-Q427=0,"",IF(D427="",(P427+S427)/(I427-Q427),IF(AND(D427&lt;&gt;"",(P427+S427)/(I427-Q427)&gt;=50%),(P427+S427)/(I427-Q427),"")))</f>
        <v>0.7900552486187845</v>
      </c>
      <c r="W427" s="26">
        <f>IF(I427=O427,"",IF(V427="",0,(P427+Q427+S427-O427)/(I427-O427)))</f>
        <v>0.7414965986394558</v>
      </c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1.75" customHeight="1">
      <c r="A428" s="32"/>
      <c r="B428" s="115" t="s">
        <v>128</v>
      </c>
      <c r="C428" s="14" t="s">
        <v>2</v>
      </c>
      <c r="D428" s="15"/>
      <c r="E428" s="16" t="s">
        <v>27</v>
      </c>
      <c r="F428" s="15"/>
      <c r="G428" s="15"/>
      <c r="H428" s="15"/>
      <c r="I428" s="17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1" customHeight="1">
      <c r="A429" s="32">
        <v>43</v>
      </c>
      <c r="B429" s="115"/>
      <c r="C429" s="20" t="str">
        <f>IF(A429="","VARA",VLOOKUP(A429,'[1]varas'!$A$4:$B$102,2))</f>
        <v>1ª VT Petrolina</v>
      </c>
      <c r="D429" s="15"/>
      <c r="E429" s="16"/>
      <c r="F429" s="15">
        <f>82+61+16+6</f>
        <v>165</v>
      </c>
      <c r="G429" s="15">
        <v>17</v>
      </c>
      <c r="H429" s="15">
        <v>0</v>
      </c>
      <c r="I429" s="17">
        <f>SUM(F429:H429)</f>
        <v>182</v>
      </c>
      <c r="J429" s="15">
        <v>48</v>
      </c>
      <c r="K429" s="15">
        <v>23</v>
      </c>
      <c r="L429" s="15">
        <v>16</v>
      </c>
      <c r="M429" s="15">
        <v>5</v>
      </c>
      <c r="N429" s="15">
        <v>1</v>
      </c>
      <c r="O429" s="15">
        <v>61</v>
      </c>
      <c r="P429" s="15">
        <f>SUM(J429:O429)</f>
        <v>154</v>
      </c>
      <c r="Q429" s="15">
        <v>24</v>
      </c>
      <c r="R429" s="15">
        <v>0</v>
      </c>
      <c r="S429" s="15">
        <v>1</v>
      </c>
      <c r="T429" s="15">
        <v>3</v>
      </c>
      <c r="U429" s="15">
        <v>214</v>
      </c>
      <c r="V429" s="18"/>
      <c r="W429" s="18"/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5.5" customHeight="1">
      <c r="A430" s="32"/>
      <c r="B430" s="115"/>
      <c r="C430" s="21" t="s">
        <v>12</v>
      </c>
      <c r="D430" s="33"/>
      <c r="E430" s="23"/>
      <c r="F430" s="24">
        <f>SUM(F428:F429)</f>
        <v>165</v>
      </c>
      <c r="G430" s="24">
        <f>SUM(G428:G429)</f>
        <v>17</v>
      </c>
      <c r="H430" s="24">
        <f>SUM(H428:H429)</f>
        <v>0</v>
      </c>
      <c r="I430" s="40">
        <f>SUM(F430:H430)</f>
        <v>182</v>
      </c>
      <c r="J430" s="24">
        <f aca="true" t="shared" si="121" ref="J430:O430">SUM(J428:J429)</f>
        <v>48</v>
      </c>
      <c r="K430" s="24">
        <f t="shared" si="121"/>
        <v>23</v>
      </c>
      <c r="L430" s="24">
        <f t="shared" si="121"/>
        <v>16</v>
      </c>
      <c r="M430" s="24">
        <f t="shared" si="121"/>
        <v>5</v>
      </c>
      <c r="N430" s="24">
        <f t="shared" si="121"/>
        <v>1</v>
      </c>
      <c r="O430" s="24">
        <f t="shared" si="121"/>
        <v>61</v>
      </c>
      <c r="P430" s="24">
        <f>SUM(J430:O430)</f>
        <v>154</v>
      </c>
      <c r="Q430" s="24">
        <f>SUM(Q428:Q429)</f>
        <v>24</v>
      </c>
      <c r="R430" s="24">
        <f>SUM(R428:R429)</f>
        <v>0</v>
      </c>
      <c r="S430" s="24">
        <f>SUM(S428:S429)</f>
        <v>1</v>
      </c>
      <c r="T430" s="24">
        <f>SUM(T428:T429)</f>
        <v>3</v>
      </c>
      <c r="U430" s="24">
        <f>SUM(U428:U429)</f>
        <v>214</v>
      </c>
      <c r="V430" s="26">
        <f>IF(I430-Q430=0,"",IF(D430="",(P430+S430)/(I430-Q430),IF(AND(D430&lt;&gt;"",(P430+S430)/(I430-Q430)&gt;=50%),(P430+S430)/(I430-Q430),"")))</f>
        <v>0.9810126582278481</v>
      </c>
      <c r="W430" s="26">
        <f>IF(I430=O430,"",IF(V430="",0,(P430+Q430+S430-O430)/(I430-O430)))</f>
        <v>0.9752066115702479</v>
      </c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0.25" customHeight="1">
      <c r="A431" s="32"/>
      <c r="B431" s="115" t="s">
        <v>129</v>
      </c>
      <c r="C431" s="14" t="s">
        <v>2</v>
      </c>
      <c r="D431" s="15"/>
      <c r="E431" s="16" t="s">
        <v>27</v>
      </c>
      <c r="F431" s="15"/>
      <c r="G431" s="15"/>
      <c r="H431" s="15"/>
      <c r="I431" s="17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8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21" customHeight="1">
      <c r="A432" s="32">
        <v>18</v>
      </c>
      <c r="B432" s="115"/>
      <c r="C432" s="20" t="str">
        <f>IF(A432="","VARA",VLOOKUP(A432,'[1]varas'!$A$4:$B$102,2))</f>
        <v>18ª VT Recife</v>
      </c>
      <c r="D432" s="15"/>
      <c r="E432" s="16"/>
      <c r="F432" s="15">
        <f>58+59+24</f>
        <v>141</v>
      </c>
      <c r="G432" s="15">
        <v>0</v>
      </c>
      <c r="H432" s="15">
        <v>126</v>
      </c>
      <c r="I432" s="17">
        <f>SUM(F432:H432)</f>
        <v>267</v>
      </c>
      <c r="J432" s="15">
        <v>23</v>
      </c>
      <c r="K432" s="15">
        <v>16</v>
      </c>
      <c r="L432" s="15">
        <v>20</v>
      </c>
      <c r="M432" s="15">
        <v>4</v>
      </c>
      <c r="N432" s="15">
        <v>0</v>
      </c>
      <c r="O432" s="15">
        <v>59</v>
      </c>
      <c r="P432" s="15">
        <f>SUM(J432:O432)</f>
        <v>122</v>
      </c>
      <c r="Q432" s="15">
        <v>0</v>
      </c>
      <c r="R432" s="15">
        <v>145</v>
      </c>
      <c r="S432" s="15">
        <v>0</v>
      </c>
      <c r="T432" s="15">
        <v>0</v>
      </c>
      <c r="U432" s="15">
        <v>169</v>
      </c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20.25" customHeight="1">
      <c r="A433" s="32"/>
      <c r="B433" s="115"/>
      <c r="C433" s="21" t="s">
        <v>12</v>
      </c>
      <c r="D433" s="33"/>
      <c r="E433" s="23"/>
      <c r="F433" s="24">
        <f>SUM(F431:F432)</f>
        <v>141</v>
      </c>
      <c r="G433" s="24">
        <f>SUM(G431:G432)</f>
        <v>0</v>
      </c>
      <c r="H433" s="24">
        <f>SUM(H431:H432)</f>
        <v>126</v>
      </c>
      <c r="I433" s="25">
        <f>SUM(F433:H433)</f>
        <v>267</v>
      </c>
      <c r="J433" s="24">
        <f aca="true" t="shared" si="122" ref="J433:O433">SUM(J431:J432)</f>
        <v>23</v>
      </c>
      <c r="K433" s="24">
        <f t="shared" si="122"/>
        <v>16</v>
      </c>
      <c r="L433" s="24">
        <f t="shared" si="122"/>
        <v>20</v>
      </c>
      <c r="M433" s="24">
        <f t="shared" si="122"/>
        <v>4</v>
      </c>
      <c r="N433" s="24">
        <f t="shared" si="122"/>
        <v>0</v>
      </c>
      <c r="O433" s="24">
        <f t="shared" si="122"/>
        <v>59</v>
      </c>
      <c r="P433" s="24">
        <f>SUM(J433:O433)</f>
        <v>122</v>
      </c>
      <c r="Q433" s="24">
        <f>SUM(Q431:Q432)</f>
        <v>0</v>
      </c>
      <c r="R433" s="24">
        <f>SUM(R431:R432)</f>
        <v>145</v>
      </c>
      <c r="S433" s="24">
        <f>SUM(S431:S432)</f>
        <v>0</v>
      </c>
      <c r="T433" s="24">
        <f>SUM(T431:T432)</f>
        <v>0</v>
      </c>
      <c r="U433" s="24">
        <f>SUM(U431:U432)</f>
        <v>169</v>
      </c>
      <c r="V433" s="26">
        <f>IF(I433-Q433=0,"",IF(D433="",(P433+S433)/(I433-Q433),IF(AND(D433&lt;&gt;"",(P433+S433)/(I433-Q433)&gt;=50%),(P433+S433)/(I433-Q433),"")))</f>
        <v>0.45692883895131087</v>
      </c>
      <c r="W433" s="26">
        <f>IF(I433=O433,"",IF(V433="",0,(P433+Q433+S433-O433)/(I433-O433)))</f>
        <v>0.30288461538461536</v>
      </c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0.25" customHeight="1">
      <c r="A434" s="32"/>
      <c r="B434" s="115" t="s">
        <v>130</v>
      </c>
      <c r="C434" s="14" t="s">
        <v>2</v>
      </c>
      <c r="D434" s="29"/>
      <c r="E434" s="16" t="s">
        <v>27</v>
      </c>
      <c r="F434" s="15"/>
      <c r="G434" s="15"/>
      <c r="H434" s="15"/>
      <c r="I434" s="17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8"/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20.25" customHeight="1">
      <c r="A435" s="32">
        <v>48</v>
      </c>
      <c r="B435" s="115"/>
      <c r="C435" s="20" t="str">
        <f>IF(A435="","VARA",VLOOKUP(A435,'[1]varas'!$A$4:$B$102,2))</f>
        <v>VT Catende</v>
      </c>
      <c r="D435" s="29"/>
      <c r="E435" s="16"/>
      <c r="F435" s="15">
        <f>34+124+8</f>
        <v>166</v>
      </c>
      <c r="G435" s="15">
        <v>0</v>
      </c>
      <c r="H435" s="15">
        <v>0</v>
      </c>
      <c r="I435" s="17">
        <f>SUM(F435:H435)</f>
        <v>166</v>
      </c>
      <c r="J435" s="15">
        <v>14</v>
      </c>
      <c r="K435" s="15">
        <v>2</v>
      </c>
      <c r="L435" s="15">
        <v>8</v>
      </c>
      <c r="M435" s="15">
        <v>0</v>
      </c>
      <c r="N435" s="15">
        <v>0</v>
      </c>
      <c r="O435" s="15">
        <v>124</v>
      </c>
      <c r="P435" s="15">
        <f>SUM(J435:O435)</f>
        <v>148</v>
      </c>
      <c r="Q435" s="15">
        <v>0</v>
      </c>
      <c r="R435" s="15">
        <v>18</v>
      </c>
      <c r="S435" s="15">
        <v>0</v>
      </c>
      <c r="T435" s="15">
        <v>0</v>
      </c>
      <c r="U435" s="15">
        <v>348</v>
      </c>
      <c r="V435" s="18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20.25" customHeight="1">
      <c r="A436" s="32">
        <v>59</v>
      </c>
      <c r="B436" s="115"/>
      <c r="C436" s="20" t="str">
        <f>IF(A436="","VARA",VLOOKUP(A436,'[1]varas'!$A$4:$B$102,2))</f>
        <v>VT Salgueiro</v>
      </c>
      <c r="D436" s="29"/>
      <c r="E436" s="16"/>
      <c r="F436" s="15">
        <v>41</v>
      </c>
      <c r="G436" s="15">
        <v>19</v>
      </c>
      <c r="H436" s="15">
        <v>0</v>
      </c>
      <c r="I436" s="17">
        <f>SUM(F436:H436)</f>
        <v>60</v>
      </c>
      <c r="J436" s="15">
        <v>24</v>
      </c>
      <c r="K436" s="15">
        <v>6</v>
      </c>
      <c r="L436" s="15">
        <v>0</v>
      </c>
      <c r="M436" s="15">
        <v>1</v>
      </c>
      <c r="N436" s="15">
        <v>0</v>
      </c>
      <c r="O436" s="15">
        <v>10</v>
      </c>
      <c r="P436" s="15">
        <f>SUM(J436:O436)</f>
        <v>41</v>
      </c>
      <c r="Q436" s="15">
        <v>0</v>
      </c>
      <c r="R436" s="15">
        <v>19</v>
      </c>
      <c r="S436" s="15">
        <v>0</v>
      </c>
      <c r="T436" s="15">
        <v>0</v>
      </c>
      <c r="U436" s="15">
        <v>74</v>
      </c>
      <c r="V436" s="18"/>
      <c r="W436" s="18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0.25" customHeight="1">
      <c r="A437" s="32">
        <v>62</v>
      </c>
      <c r="B437" s="115"/>
      <c r="C437" s="20" t="str">
        <f>IF(A437="","VARA",VLOOKUP(A437,'[1]varas'!$A$4:$B$102,2))</f>
        <v>PAJT Floresta</v>
      </c>
      <c r="D437" s="29"/>
      <c r="E437" s="16"/>
      <c r="F437" s="15">
        <v>0</v>
      </c>
      <c r="G437" s="15">
        <v>22</v>
      </c>
      <c r="H437" s="15">
        <v>0</v>
      </c>
      <c r="I437" s="17">
        <f>SUM(F437:H437)</f>
        <v>22</v>
      </c>
      <c r="J437" s="15">
        <v>21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f>SUM(J437:O437)</f>
        <v>21</v>
      </c>
      <c r="Q437" s="15">
        <v>1</v>
      </c>
      <c r="R437" s="15">
        <v>0</v>
      </c>
      <c r="S437" s="15">
        <v>0</v>
      </c>
      <c r="T437" s="15">
        <v>0</v>
      </c>
      <c r="U437" s="15">
        <v>0</v>
      </c>
      <c r="V437" s="18"/>
      <c r="W437" s="18"/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20.25" customHeight="1">
      <c r="A438" s="32"/>
      <c r="B438" s="115"/>
      <c r="C438" s="21" t="s">
        <v>12</v>
      </c>
      <c r="D438" s="33"/>
      <c r="E438" s="23"/>
      <c r="F438" s="24">
        <f>SUM(F434:F437)</f>
        <v>207</v>
      </c>
      <c r="G438" s="24">
        <f>SUM(G434:G437)</f>
        <v>41</v>
      </c>
      <c r="H438" s="24">
        <f>SUM(H434:H437)</f>
        <v>0</v>
      </c>
      <c r="I438" s="40">
        <f>SUM(F438:H438)</f>
        <v>248</v>
      </c>
      <c r="J438" s="24">
        <f aca="true" t="shared" si="123" ref="J438:O438">SUM(J434:J437)</f>
        <v>59</v>
      </c>
      <c r="K438" s="24">
        <f t="shared" si="123"/>
        <v>8</v>
      </c>
      <c r="L438" s="24">
        <f t="shared" si="123"/>
        <v>8</v>
      </c>
      <c r="M438" s="24">
        <f t="shared" si="123"/>
        <v>1</v>
      </c>
      <c r="N438" s="24">
        <f t="shared" si="123"/>
        <v>0</v>
      </c>
      <c r="O438" s="24">
        <f t="shared" si="123"/>
        <v>134</v>
      </c>
      <c r="P438" s="24">
        <f>SUM(J438:O438)</f>
        <v>210</v>
      </c>
      <c r="Q438" s="24">
        <f>SUM(Q434:Q437)</f>
        <v>1</v>
      </c>
      <c r="R438" s="24">
        <f>SUM(R434:R437)</f>
        <v>37</v>
      </c>
      <c r="S438" s="24">
        <f>SUM(S434:S437)</f>
        <v>0</v>
      </c>
      <c r="T438" s="24">
        <f>SUM(T434:T437)</f>
        <v>0</v>
      </c>
      <c r="U438" s="24">
        <f>SUM(U434:U437)</f>
        <v>422</v>
      </c>
      <c r="V438" s="26">
        <f>IF(I438-Q438=0,"",IF(D438="",(P438+S438)/(I438-Q438),IF(AND(D438&lt;&gt;"",(P438+S438)/(I438-Q438)&gt;=50%),(P438+S438)/(I438-Q438),"")))</f>
        <v>0.8502024291497976</v>
      </c>
      <c r="W438" s="26">
        <f>IF(I438=O438,"",IF(V438="",0,(P438+Q438+S438-O438)/(I438-O438)))</f>
        <v>0.6754385964912281</v>
      </c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22.5" customHeight="1">
      <c r="A439" s="32"/>
      <c r="B439" s="122" t="s">
        <v>184</v>
      </c>
      <c r="C439" s="20" t="s">
        <v>161</v>
      </c>
      <c r="D439" s="15"/>
      <c r="E439" s="16" t="s">
        <v>27</v>
      </c>
      <c r="F439" s="15"/>
      <c r="G439" s="15"/>
      <c r="H439" s="15"/>
      <c r="I439" s="17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8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22.5" customHeight="1">
      <c r="A440" s="32">
        <v>20</v>
      </c>
      <c r="B440" s="122"/>
      <c r="C440" s="20" t="str">
        <f>IF(A440="","VARA",VLOOKUP(A440,'[1]varas'!$A$4:$B$102,2))</f>
        <v>20ª VT Recife</v>
      </c>
      <c r="D440" s="15"/>
      <c r="E440" s="16"/>
      <c r="F440" s="15">
        <f>51+22+21+9</f>
        <v>103</v>
      </c>
      <c r="G440" s="15">
        <v>0</v>
      </c>
      <c r="H440" s="15">
        <v>0</v>
      </c>
      <c r="I440" s="17">
        <f>SUM(F440:H440)</f>
        <v>103</v>
      </c>
      <c r="J440" s="15">
        <v>51</v>
      </c>
      <c r="K440" s="15">
        <v>0</v>
      </c>
      <c r="L440" s="15">
        <v>21</v>
      </c>
      <c r="M440" s="15">
        <v>8</v>
      </c>
      <c r="N440" s="15">
        <v>1</v>
      </c>
      <c r="O440" s="15">
        <v>22</v>
      </c>
      <c r="P440" s="15">
        <f>SUM(J440:O440)</f>
        <v>103</v>
      </c>
      <c r="Q440" s="15">
        <v>0</v>
      </c>
      <c r="R440" s="15">
        <v>0</v>
      </c>
      <c r="S440" s="15">
        <v>0</v>
      </c>
      <c r="T440" s="15">
        <v>0</v>
      </c>
      <c r="U440" s="15">
        <v>170</v>
      </c>
      <c r="V440" s="18"/>
      <c r="W440" s="18"/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20.25" customHeight="1">
      <c r="A441" s="32">
        <v>38</v>
      </c>
      <c r="B441" s="115"/>
      <c r="C441" s="20" t="str">
        <f>IF(A441="","VARA",VLOOKUP(A441,'[1]varas'!$A$4:$B$102,2))</f>
        <v>1ª VT Olinda</v>
      </c>
      <c r="D441" s="15"/>
      <c r="E441" s="16"/>
      <c r="F441" s="15">
        <v>11</v>
      </c>
      <c r="G441" s="15">
        <v>0</v>
      </c>
      <c r="H441" s="15">
        <v>0</v>
      </c>
      <c r="I441" s="17">
        <f>SUM(F441:H441)</f>
        <v>11</v>
      </c>
      <c r="J441" s="15">
        <v>2</v>
      </c>
      <c r="K441" s="15">
        <v>0</v>
      </c>
      <c r="L441" s="15">
        <v>1</v>
      </c>
      <c r="M441" s="15">
        <v>0</v>
      </c>
      <c r="N441" s="15">
        <v>0</v>
      </c>
      <c r="O441" s="15">
        <v>8</v>
      </c>
      <c r="P441" s="15">
        <f>SUM(J441:O441)</f>
        <v>11</v>
      </c>
      <c r="Q441" s="15">
        <v>0</v>
      </c>
      <c r="R441" s="15">
        <v>0</v>
      </c>
      <c r="S441" s="15">
        <v>0</v>
      </c>
      <c r="T441" s="15">
        <v>0</v>
      </c>
      <c r="U441" s="15">
        <v>22</v>
      </c>
      <c r="V441" s="18"/>
      <c r="W441" s="18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22.5" customHeight="1">
      <c r="A442" s="32"/>
      <c r="B442" s="115"/>
      <c r="C442" s="21" t="s">
        <v>12</v>
      </c>
      <c r="D442" s="33"/>
      <c r="E442" s="23"/>
      <c r="F442" s="24">
        <f>SUM(F439:F441)</f>
        <v>114</v>
      </c>
      <c r="G442" s="24">
        <f>SUM(G439:G441)</f>
        <v>0</v>
      </c>
      <c r="H442" s="24">
        <f>SUM(H439:H441)</f>
        <v>0</v>
      </c>
      <c r="I442" s="40">
        <f>SUM(F442:H442)</f>
        <v>114</v>
      </c>
      <c r="J442" s="24">
        <f aca="true" t="shared" si="124" ref="J442:O442">SUM(J439:J441)</f>
        <v>53</v>
      </c>
      <c r="K442" s="24">
        <f t="shared" si="124"/>
        <v>0</v>
      </c>
      <c r="L442" s="24">
        <f t="shared" si="124"/>
        <v>22</v>
      </c>
      <c r="M442" s="24">
        <f t="shared" si="124"/>
        <v>8</v>
      </c>
      <c r="N442" s="24">
        <f t="shared" si="124"/>
        <v>1</v>
      </c>
      <c r="O442" s="24">
        <f t="shared" si="124"/>
        <v>30</v>
      </c>
      <c r="P442" s="24">
        <f>SUM(J442:O442)</f>
        <v>114</v>
      </c>
      <c r="Q442" s="24">
        <f>SUM(Q439:Q441)</f>
        <v>0</v>
      </c>
      <c r="R442" s="24">
        <f>SUM(R439:R441)</f>
        <v>0</v>
      </c>
      <c r="S442" s="24">
        <f>SUM(S439:S441)</f>
        <v>0</v>
      </c>
      <c r="T442" s="24">
        <f>SUM(T439:T441)</f>
        <v>0</v>
      </c>
      <c r="U442" s="24">
        <f>SUM(U439:U441)</f>
        <v>192</v>
      </c>
      <c r="V442" s="26">
        <f>IF(I442-Q442=0,"",IF(D442="",(P442+S442)/(I442-Q442),IF(AND(D442&lt;&gt;"",(P442+S442)/(I442-Q442)&gt;=50%),(P442+S442)/(I442-Q442),"")))</f>
        <v>1</v>
      </c>
      <c r="W442" s="26">
        <f>IF(I442=O442,"",IF(V442="",0,(P442+Q442+S442-O442)/(I442-O442)))</f>
        <v>1</v>
      </c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2.5" customHeight="1">
      <c r="A443" s="32"/>
      <c r="B443" s="115" t="s">
        <v>131</v>
      </c>
      <c r="C443" s="14" t="s">
        <v>158</v>
      </c>
      <c r="D443" s="29" t="s">
        <v>30</v>
      </c>
      <c r="E443" s="16" t="s">
        <v>204</v>
      </c>
      <c r="F443" s="15"/>
      <c r="G443" s="15"/>
      <c r="H443" s="15"/>
      <c r="I443" s="17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8"/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18.75" customHeight="1">
      <c r="A444" s="32">
        <v>11</v>
      </c>
      <c r="B444" s="115"/>
      <c r="C444" s="20" t="str">
        <f>IF(A444="","VARA",VLOOKUP(A444,'[1]varas'!$A$4:$B$102,2))</f>
        <v>11ª VT Recife</v>
      </c>
      <c r="D444" s="15"/>
      <c r="E444" s="16"/>
      <c r="F444" s="15">
        <v>3</v>
      </c>
      <c r="G444" s="15">
        <v>20</v>
      </c>
      <c r="H444" s="15">
        <v>54</v>
      </c>
      <c r="I444" s="17">
        <f>SUM(F444:H444)</f>
        <v>77</v>
      </c>
      <c r="J444" s="15">
        <v>18</v>
      </c>
      <c r="K444" s="15">
        <v>1</v>
      </c>
      <c r="L444" s="15">
        <v>0</v>
      </c>
      <c r="M444" s="15">
        <v>0</v>
      </c>
      <c r="N444" s="15">
        <v>0</v>
      </c>
      <c r="O444" s="15">
        <v>0</v>
      </c>
      <c r="P444" s="15">
        <f>SUM(J444:O444)</f>
        <v>19</v>
      </c>
      <c r="Q444" s="15">
        <v>22</v>
      </c>
      <c r="R444" s="15">
        <v>36</v>
      </c>
      <c r="S444" s="15">
        <v>0</v>
      </c>
      <c r="T444" s="15">
        <v>0</v>
      </c>
      <c r="U444" s="15">
        <v>0</v>
      </c>
      <c r="V444" s="18"/>
      <c r="W444" s="18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23.25" customHeight="1">
      <c r="A445" s="32"/>
      <c r="B445" s="115"/>
      <c r="C445" s="21" t="s">
        <v>12</v>
      </c>
      <c r="D445" s="33"/>
      <c r="E445" s="23"/>
      <c r="F445" s="24">
        <f>SUM(F443:F444)</f>
        <v>3</v>
      </c>
      <c r="G445" s="24">
        <f>SUM(G443:G444)</f>
        <v>20</v>
      </c>
      <c r="H445" s="24">
        <f>SUM(H443:H444)</f>
        <v>54</v>
      </c>
      <c r="I445" s="25">
        <f>SUM(F445:H445)</f>
        <v>77</v>
      </c>
      <c r="J445" s="24">
        <f aca="true" t="shared" si="125" ref="J445:O445">SUM(J443:J444)</f>
        <v>18</v>
      </c>
      <c r="K445" s="24">
        <f t="shared" si="125"/>
        <v>1</v>
      </c>
      <c r="L445" s="24">
        <f t="shared" si="125"/>
        <v>0</v>
      </c>
      <c r="M445" s="24">
        <f t="shared" si="125"/>
        <v>0</v>
      </c>
      <c r="N445" s="24">
        <f t="shared" si="125"/>
        <v>0</v>
      </c>
      <c r="O445" s="24">
        <f t="shared" si="125"/>
        <v>0</v>
      </c>
      <c r="P445" s="24">
        <f>SUM(J445:O445)</f>
        <v>19</v>
      </c>
      <c r="Q445" s="24">
        <f>SUM(Q443:Q444)</f>
        <v>22</v>
      </c>
      <c r="R445" s="24">
        <f>SUM(R443:R444)</f>
        <v>36</v>
      </c>
      <c r="S445" s="24">
        <f>SUM(S443:S444)</f>
        <v>0</v>
      </c>
      <c r="T445" s="24">
        <f>SUM(T443:T444)</f>
        <v>0</v>
      </c>
      <c r="U445" s="24">
        <f>SUM(U443:U444)</f>
        <v>0</v>
      </c>
      <c r="V445" s="26">
        <f>IF(I445-Q445=0,"",IF(D445="",(P445+S445)/(I445-Q445),IF(AND(D445&lt;&gt;"",(P445+S445)/(I445-Q445)&gt;=50%),(P445+S445)/(I445-Q445),"")))</f>
        <v>0.34545454545454546</v>
      </c>
      <c r="W445" s="26">
        <f>IF(I445=O445,"",IF(V445="",0,(P445+Q445+S445-O445)/(I445-O445)))</f>
        <v>0.5324675324675324</v>
      </c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23.25" customHeight="1">
      <c r="A446" s="32"/>
      <c r="B446" s="115" t="s">
        <v>132</v>
      </c>
      <c r="C446" s="14" t="s">
        <v>2</v>
      </c>
      <c r="D446" s="29" t="s">
        <v>163</v>
      </c>
      <c r="E446" s="16" t="s">
        <v>190</v>
      </c>
      <c r="F446" s="15"/>
      <c r="G446" s="15"/>
      <c r="H446" s="15"/>
      <c r="I446" s="17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8"/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8" customHeight="1">
      <c r="A447" s="32">
        <v>51</v>
      </c>
      <c r="B447" s="115"/>
      <c r="C447" s="20" t="str">
        <f>IF(A447="","VARA",VLOOKUP(A447,'[1]varas'!$A$4:$B$102,2))</f>
        <v>VT Goiana</v>
      </c>
      <c r="D447" s="15"/>
      <c r="E447" s="16"/>
      <c r="F447" s="15">
        <v>0</v>
      </c>
      <c r="G447" s="15">
        <v>0</v>
      </c>
      <c r="H447" s="15">
        <v>0</v>
      </c>
      <c r="I447" s="17">
        <f>SUM(F447:H447)</f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f>SUM(J447:O447)</f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8"/>
      <c r="W447" s="18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20.25" customHeight="1">
      <c r="A448" s="32"/>
      <c r="B448" s="115"/>
      <c r="C448" s="21" t="s">
        <v>12</v>
      </c>
      <c r="D448" s="33"/>
      <c r="E448" s="23"/>
      <c r="F448" s="24">
        <f>SUM(F446:F447)</f>
        <v>0</v>
      </c>
      <c r="G448" s="24">
        <f>SUM(G446:G447)</f>
        <v>0</v>
      </c>
      <c r="H448" s="24">
        <f>SUM(H446:H447)</f>
        <v>0</v>
      </c>
      <c r="I448" s="25">
        <f>SUM(F448:H448)</f>
        <v>0</v>
      </c>
      <c r="J448" s="24">
        <f aca="true" t="shared" si="126" ref="J448:O448">SUM(J446:J447)</f>
        <v>0</v>
      </c>
      <c r="K448" s="24">
        <f t="shared" si="126"/>
        <v>0</v>
      </c>
      <c r="L448" s="24">
        <f t="shared" si="126"/>
        <v>0</v>
      </c>
      <c r="M448" s="24">
        <f t="shared" si="126"/>
        <v>0</v>
      </c>
      <c r="N448" s="24">
        <f t="shared" si="126"/>
        <v>0</v>
      </c>
      <c r="O448" s="24">
        <f t="shared" si="126"/>
        <v>0</v>
      </c>
      <c r="P448" s="24">
        <f>SUM(J448:O448)</f>
        <v>0</v>
      </c>
      <c r="Q448" s="24">
        <f>SUM(Q446:Q447)</f>
        <v>0</v>
      </c>
      <c r="R448" s="24">
        <f>SUM(R446:R447)</f>
        <v>0</v>
      </c>
      <c r="S448" s="24">
        <f>SUM(S446:S447)</f>
        <v>0</v>
      </c>
      <c r="T448" s="24">
        <f>SUM(T446:T447)</f>
        <v>0</v>
      </c>
      <c r="U448" s="24">
        <f>SUM(U446:U447)</f>
        <v>0</v>
      </c>
      <c r="V448" s="26">
        <f>IF(I448-Q448=0,"",IF(D448="",(P448+S448)/(I448-Q448),IF(AND(D448&lt;&gt;"",(P448+S448)/(I448-Q448)&gt;=50%),(P448+S448)/(I448-Q448),"")))</f>
      </c>
      <c r="W448" s="26">
        <f>IF(I448=O448,"",IF(V448="",0,(P448+Q448+S448-O448)/(I448-O448)))</f>
      </c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8.75" customHeight="1">
      <c r="A449" s="32"/>
      <c r="B449" s="115" t="s">
        <v>133</v>
      </c>
      <c r="C449" s="14" t="s">
        <v>2</v>
      </c>
      <c r="D449" s="29" t="s">
        <v>30</v>
      </c>
      <c r="E449" s="16" t="s">
        <v>204</v>
      </c>
      <c r="F449" s="15"/>
      <c r="G449" s="15"/>
      <c r="H449" s="15"/>
      <c r="I449" s="17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8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8.75" customHeight="1">
      <c r="A450" s="32">
        <v>17</v>
      </c>
      <c r="B450" s="115"/>
      <c r="C450" s="20" t="str">
        <f>IF(A450="","VARA",VLOOKUP(A450,'[1]varas'!$A$4:$B$102,2))</f>
        <v>17ª VT Recife</v>
      </c>
      <c r="D450" s="29"/>
      <c r="E450" s="16"/>
      <c r="F450" s="15">
        <v>0</v>
      </c>
      <c r="G450" s="15">
        <v>1</v>
      </c>
      <c r="H450" s="15">
        <v>0</v>
      </c>
      <c r="I450" s="17">
        <f>SUM(F450:H450)</f>
        <v>1</v>
      </c>
      <c r="J450" s="15">
        <v>0</v>
      </c>
      <c r="K450" s="15">
        <v>1</v>
      </c>
      <c r="L450" s="15">
        <v>0</v>
      </c>
      <c r="M450" s="15">
        <v>0</v>
      </c>
      <c r="N450" s="15">
        <v>0</v>
      </c>
      <c r="O450" s="15">
        <v>0</v>
      </c>
      <c r="P450" s="15">
        <f>SUM(J450:O450)</f>
        <v>1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8"/>
      <c r="W450" s="18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21.75" customHeight="1">
      <c r="A451" s="32"/>
      <c r="B451" s="121"/>
      <c r="C451" s="21" t="s">
        <v>12</v>
      </c>
      <c r="D451" s="33"/>
      <c r="E451" s="23"/>
      <c r="F451" s="24">
        <f>SUM(F449:F450)</f>
        <v>0</v>
      </c>
      <c r="G451" s="24">
        <f>SUM(G449:G450)</f>
        <v>1</v>
      </c>
      <c r="H451" s="24">
        <f>SUM(H449:H450)</f>
        <v>0</v>
      </c>
      <c r="I451" s="25">
        <f>SUM(F451:H451)</f>
        <v>1</v>
      </c>
      <c r="J451" s="24">
        <f aca="true" t="shared" si="127" ref="J451:O451">SUM(J449:J450)</f>
        <v>0</v>
      </c>
      <c r="K451" s="24">
        <f t="shared" si="127"/>
        <v>1</v>
      </c>
      <c r="L451" s="24">
        <f t="shared" si="127"/>
        <v>0</v>
      </c>
      <c r="M451" s="24">
        <f t="shared" si="127"/>
        <v>0</v>
      </c>
      <c r="N451" s="24">
        <f t="shared" si="127"/>
        <v>0</v>
      </c>
      <c r="O451" s="24">
        <f t="shared" si="127"/>
        <v>0</v>
      </c>
      <c r="P451" s="24">
        <f>SUM(J451:O451)</f>
        <v>1</v>
      </c>
      <c r="Q451" s="24">
        <f>SUM(Q449:Q450)</f>
        <v>0</v>
      </c>
      <c r="R451" s="24">
        <f>SUM(R449:R450)</f>
        <v>0</v>
      </c>
      <c r="S451" s="24">
        <f>SUM(S449:S450)</f>
        <v>0</v>
      </c>
      <c r="T451" s="24">
        <f>SUM(T449:T450)</f>
        <v>0</v>
      </c>
      <c r="U451" s="24">
        <f>SUM(U449:U450)</f>
        <v>0</v>
      </c>
      <c r="V451" s="26">
        <f>IF(I451-Q451=0,"",IF(D451="",(P451+S451)/(I451-Q451),IF(AND(D451&lt;&gt;"",(P451+S451)/(I451-Q451)&gt;=50%),(P451+S451)/(I451-Q451),"")))</f>
        <v>1</v>
      </c>
      <c r="W451" s="26">
        <f>IF(I451=O451,"",IF(V451="",0,(P451+Q451+S451-O451)/(I451-O451)))</f>
        <v>1</v>
      </c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21.75" customHeight="1">
      <c r="A452" s="32"/>
      <c r="B452" s="122" t="s">
        <v>134</v>
      </c>
      <c r="C452" s="14" t="s">
        <v>2</v>
      </c>
      <c r="D452" s="29"/>
      <c r="E452" s="16" t="s">
        <v>27</v>
      </c>
      <c r="F452" s="15"/>
      <c r="G452" s="15"/>
      <c r="H452" s="15"/>
      <c r="I452" s="17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8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8" customHeight="1">
      <c r="A453" s="32">
        <v>51</v>
      </c>
      <c r="B453" s="115"/>
      <c r="C453" s="20" t="str">
        <f>IF(A453="","VARA",VLOOKUP(A453,'[1]varas'!$A$4:$B$102,2))</f>
        <v>VT Goiana</v>
      </c>
      <c r="D453" s="15"/>
      <c r="E453" s="16"/>
      <c r="F453" s="15">
        <f>65+45+7</f>
        <v>117</v>
      </c>
      <c r="G453" s="15">
        <v>11</v>
      </c>
      <c r="H453" s="15">
        <v>0</v>
      </c>
      <c r="I453" s="17">
        <f>SUM(F453:H453)</f>
        <v>128</v>
      </c>
      <c r="J453" s="15">
        <v>41</v>
      </c>
      <c r="K453" s="15">
        <v>32</v>
      </c>
      <c r="L453" s="15">
        <v>4</v>
      </c>
      <c r="M453" s="15">
        <v>3</v>
      </c>
      <c r="N453" s="15">
        <v>0</v>
      </c>
      <c r="O453" s="15">
        <v>45</v>
      </c>
      <c r="P453" s="15">
        <f>SUM(J453:O453)</f>
        <v>125</v>
      </c>
      <c r="Q453" s="15">
        <v>3</v>
      </c>
      <c r="R453" s="15">
        <v>0</v>
      </c>
      <c r="S453" s="15">
        <v>0</v>
      </c>
      <c r="T453" s="15">
        <v>0</v>
      </c>
      <c r="U453" s="15">
        <v>145</v>
      </c>
      <c r="V453" s="18"/>
      <c r="W453" s="18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s="39" customFormat="1" ht="18" customHeight="1">
      <c r="A454" s="32"/>
      <c r="B454" s="115"/>
      <c r="C454" s="21" t="s">
        <v>12</v>
      </c>
      <c r="D454" s="33"/>
      <c r="E454" s="23"/>
      <c r="F454" s="24">
        <f>SUM(F452:F453)</f>
        <v>117</v>
      </c>
      <c r="G454" s="24">
        <f>SUM(G452:G453)</f>
        <v>11</v>
      </c>
      <c r="H454" s="24">
        <f>SUM(H452:H453)</f>
        <v>0</v>
      </c>
      <c r="I454" s="40">
        <f>SUM(F454:H454)</f>
        <v>128</v>
      </c>
      <c r="J454" s="24">
        <f aca="true" t="shared" si="128" ref="J454:O454">SUM(J452:J453)</f>
        <v>41</v>
      </c>
      <c r="K454" s="24">
        <f t="shared" si="128"/>
        <v>32</v>
      </c>
      <c r="L454" s="24">
        <f t="shared" si="128"/>
        <v>4</v>
      </c>
      <c r="M454" s="24">
        <f t="shared" si="128"/>
        <v>3</v>
      </c>
      <c r="N454" s="24">
        <f t="shared" si="128"/>
        <v>0</v>
      </c>
      <c r="O454" s="24">
        <f t="shared" si="128"/>
        <v>45</v>
      </c>
      <c r="P454" s="24">
        <f>SUM(J454:O454)</f>
        <v>125</v>
      </c>
      <c r="Q454" s="24">
        <f>SUM(Q452:Q453)</f>
        <v>3</v>
      </c>
      <c r="R454" s="24">
        <f>SUM(R452:R453)</f>
        <v>0</v>
      </c>
      <c r="S454" s="24">
        <f>SUM(S452:S453)</f>
        <v>0</v>
      </c>
      <c r="T454" s="24">
        <f>SUM(T452:T453)</f>
        <v>0</v>
      </c>
      <c r="U454" s="24">
        <f>SUM(U452:U453)</f>
        <v>145</v>
      </c>
      <c r="V454" s="26">
        <f>IF(I454-Q454=0,"",IF(D454="",(P454+S454)/(I454-Q454),IF(AND(D454&lt;&gt;"",(P454+S454)/(I454-Q454)&gt;=50%),(P454+S454)/(I454-Q454),"")))</f>
        <v>1</v>
      </c>
      <c r="W454" s="26">
        <f>IF(I454=O454,"",IF(V454="",0,(P454+Q454+S454-O454)/(I454-O454)))</f>
        <v>1</v>
      </c>
      <c r="X454" s="30"/>
      <c r="Y454" s="30"/>
      <c r="Z454" s="30"/>
      <c r="AA454" s="30"/>
      <c r="AB454" s="34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s="39" customFormat="1" ht="23.25" customHeight="1">
      <c r="A455" s="32"/>
      <c r="B455" s="115" t="s">
        <v>135</v>
      </c>
      <c r="C455" s="14" t="s">
        <v>2</v>
      </c>
      <c r="D455" s="29"/>
      <c r="E455" s="16" t="s">
        <v>27</v>
      </c>
      <c r="F455" s="15"/>
      <c r="G455" s="15"/>
      <c r="H455" s="15"/>
      <c r="I455" s="17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8"/>
      <c r="X455" s="30"/>
      <c r="Y455" s="30"/>
      <c r="Z455" s="30"/>
      <c r="AA455" s="30"/>
      <c r="AB455" s="34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1:41" s="39" customFormat="1" ht="20.25" customHeight="1">
      <c r="A456" s="32">
        <v>1</v>
      </c>
      <c r="B456" s="115"/>
      <c r="C456" s="20" t="str">
        <f>IF(A456="","VARA",VLOOKUP(A456,'[1]varas'!$A$4:$B$102,2))</f>
        <v>1ª VT Recife</v>
      </c>
      <c r="D456" s="15"/>
      <c r="E456" s="16"/>
      <c r="F456" s="15">
        <f>24+19+16+5</f>
        <v>64</v>
      </c>
      <c r="G456" s="15">
        <v>22</v>
      </c>
      <c r="H456" s="15">
        <v>58</v>
      </c>
      <c r="I456" s="17">
        <f>SUM(F456:H456)</f>
        <v>144</v>
      </c>
      <c r="J456" s="15">
        <v>19</v>
      </c>
      <c r="K456" s="15">
        <v>1</v>
      </c>
      <c r="L456" s="15">
        <v>16</v>
      </c>
      <c r="M456" s="15">
        <v>5</v>
      </c>
      <c r="N456" s="15">
        <v>0</v>
      </c>
      <c r="O456" s="15">
        <v>19</v>
      </c>
      <c r="P456" s="15">
        <f>SUM(J456:O456)</f>
        <v>60</v>
      </c>
      <c r="Q456" s="15">
        <v>0</v>
      </c>
      <c r="R456" s="15">
        <v>84</v>
      </c>
      <c r="S456" s="15">
        <v>0</v>
      </c>
      <c r="T456" s="15">
        <v>0</v>
      </c>
      <c r="U456" s="15">
        <v>175</v>
      </c>
      <c r="V456" s="18"/>
      <c r="W456" s="18"/>
      <c r="X456" s="30"/>
      <c r="Y456" s="30"/>
      <c r="Z456" s="30"/>
      <c r="AA456" s="30"/>
      <c r="AB456" s="34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</row>
    <row r="457" spans="1:41" s="39" customFormat="1" ht="21" customHeight="1">
      <c r="A457" s="32"/>
      <c r="B457" s="121"/>
      <c r="C457" s="109" t="s">
        <v>12</v>
      </c>
      <c r="D457" s="110"/>
      <c r="E457" s="111"/>
      <c r="F457" s="112">
        <f>SUM(F455:F456)</f>
        <v>64</v>
      </c>
      <c r="G457" s="112">
        <f>SUM(G455:G456)</f>
        <v>22</v>
      </c>
      <c r="H457" s="112">
        <f>SUM(H455:H456)</f>
        <v>58</v>
      </c>
      <c r="I457" s="113">
        <f>SUM(F457:H457)</f>
        <v>144</v>
      </c>
      <c r="J457" s="112">
        <f aca="true" t="shared" si="129" ref="J457:O457">SUM(J455:J456)</f>
        <v>19</v>
      </c>
      <c r="K457" s="112">
        <f t="shared" si="129"/>
        <v>1</v>
      </c>
      <c r="L457" s="112">
        <f t="shared" si="129"/>
        <v>16</v>
      </c>
      <c r="M457" s="112">
        <f t="shared" si="129"/>
        <v>5</v>
      </c>
      <c r="N457" s="112">
        <f t="shared" si="129"/>
        <v>0</v>
      </c>
      <c r="O457" s="112">
        <f t="shared" si="129"/>
        <v>19</v>
      </c>
      <c r="P457" s="112">
        <f>SUM(J457:O457)</f>
        <v>60</v>
      </c>
      <c r="Q457" s="112">
        <f>SUM(Q455:Q456)</f>
        <v>0</v>
      </c>
      <c r="R457" s="112">
        <f>SUM(R455:R456)</f>
        <v>84</v>
      </c>
      <c r="S457" s="112">
        <f>SUM(S455:S456)</f>
        <v>0</v>
      </c>
      <c r="T457" s="112">
        <f>SUM(T455:T456)</f>
        <v>0</v>
      </c>
      <c r="U457" s="112">
        <f>SUM(U455:U456)</f>
        <v>175</v>
      </c>
      <c r="V457" s="114">
        <f>IF(I457-Q457=0,"",IF(D457="",(P457+S457)/(I457-Q457),IF(AND(D457&lt;&gt;"",(P457+S457)/(I457-Q457)&gt;=50%),(P457+S457)/(I457-Q457),"")))</f>
        <v>0.4166666666666667</v>
      </c>
      <c r="W457" s="114">
        <f>IF(I457=O457,"",IF(V457="",0,(P457+Q457+S457-O457)/(I457-O457)))</f>
        <v>0.328</v>
      </c>
      <c r="X457" s="30"/>
      <c r="Y457" s="30"/>
      <c r="Z457" s="30"/>
      <c r="AA457" s="30"/>
      <c r="AB457" s="34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</row>
    <row r="458" spans="1:41" s="39" customFormat="1" ht="21" customHeight="1">
      <c r="A458" s="32"/>
      <c r="B458" s="108"/>
      <c r="C458" s="81"/>
      <c r="D458" s="82"/>
      <c r="E458" s="83"/>
      <c r="F458" s="84"/>
      <c r="G458" s="84"/>
      <c r="H458" s="84"/>
      <c r="I458" s="85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6"/>
      <c r="W458" s="86"/>
      <c r="X458" s="30"/>
      <c r="Y458" s="30"/>
      <c r="Z458" s="30"/>
      <c r="AA458" s="30"/>
      <c r="AB458" s="34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</row>
    <row r="459" spans="1:41" s="39" customFormat="1" ht="14.25" customHeight="1">
      <c r="A459" s="32"/>
      <c r="B459" s="104" t="s">
        <v>215</v>
      </c>
      <c r="C459" s="81"/>
      <c r="D459" s="82"/>
      <c r="E459" s="83"/>
      <c r="F459" s="84"/>
      <c r="G459" s="84"/>
      <c r="H459" s="84"/>
      <c r="I459" s="85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6"/>
      <c r="W459" s="86"/>
      <c r="X459" s="30"/>
      <c r="Y459" s="30"/>
      <c r="Z459" s="30"/>
      <c r="AA459" s="30"/>
      <c r="AB459" s="34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</row>
    <row r="460" spans="1:41" s="39" customFormat="1" ht="14.25" customHeight="1">
      <c r="A460" s="32"/>
      <c r="B460" s="104" t="s">
        <v>242</v>
      </c>
      <c r="C460" s="81"/>
      <c r="D460" s="82"/>
      <c r="E460" s="83"/>
      <c r="F460" s="84"/>
      <c r="G460" s="84"/>
      <c r="H460" s="84"/>
      <c r="I460" s="85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6"/>
      <c r="W460" s="86"/>
      <c r="X460" s="30"/>
      <c r="Y460" s="30"/>
      <c r="Z460" s="30"/>
      <c r="AA460" s="30"/>
      <c r="AB460" s="34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</row>
    <row r="461" spans="1:41" s="39" customFormat="1" ht="14.25" customHeight="1">
      <c r="A461" s="32"/>
      <c r="B461" s="104" t="s">
        <v>219</v>
      </c>
      <c r="C461" s="81"/>
      <c r="D461" s="82"/>
      <c r="E461" s="83"/>
      <c r="F461" s="84"/>
      <c r="G461" s="84"/>
      <c r="H461" s="84"/>
      <c r="I461" s="85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6"/>
      <c r="W461" s="86"/>
      <c r="X461" s="30"/>
      <c r="Y461" s="30"/>
      <c r="Z461" s="30"/>
      <c r="AA461" s="30"/>
      <c r="AB461" s="34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</row>
    <row r="462" spans="1:41" s="39" customFormat="1" ht="14.25" customHeight="1">
      <c r="A462" s="32"/>
      <c r="B462" s="104" t="s">
        <v>224</v>
      </c>
      <c r="C462" s="81"/>
      <c r="D462" s="82"/>
      <c r="E462" s="83"/>
      <c r="F462" s="84"/>
      <c r="G462" s="84"/>
      <c r="H462" s="84"/>
      <c r="I462" s="85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6"/>
      <c r="W462" s="86"/>
      <c r="X462" s="30"/>
      <c r="Y462" s="30"/>
      <c r="Z462" s="30"/>
      <c r="AA462" s="30"/>
      <c r="AB462" s="34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</row>
    <row r="463" spans="1:41" s="39" customFormat="1" ht="14.25" customHeight="1">
      <c r="A463" s="32"/>
      <c r="B463" s="104" t="s">
        <v>235</v>
      </c>
      <c r="C463" s="81"/>
      <c r="D463" s="82"/>
      <c r="E463" s="83"/>
      <c r="F463" s="84"/>
      <c r="G463" s="84"/>
      <c r="H463" s="84"/>
      <c r="I463" s="85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6"/>
      <c r="W463" s="86"/>
      <c r="X463" s="30"/>
      <c r="Y463" s="30"/>
      <c r="Z463" s="30"/>
      <c r="AA463" s="30"/>
      <c r="AB463" s="34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</row>
    <row r="464" spans="1:41" s="39" customFormat="1" ht="13.5" customHeight="1">
      <c r="A464" s="32"/>
      <c r="B464" s="104" t="s">
        <v>194</v>
      </c>
      <c r="C464" s="81"/>
      <c r="D464" s="82"/>
      <c r="E464" s="83"/>
      <c r="F464" s="84"/>
      <c r="G464" s="84"/>
      <c r="H464" s="84"/>
      <c r="I464" s="85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6"/>
      <c r="W464" s="86"/>
      <c r="X464" s="30"/>
      <c r="Y464" s="30"/>
      <c r="Z464" s="30"/>
      <c r="AA464" s="30"/>
      <c r="AB464" s="34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</row>
    <row r="465" spans="1:41" s="39" customFormat="1" ht="13.5" customHeight="1">
      <c r="A465" s="32"/>
      <c r="B465" s="104" t="s">
        <v>197</v>
      </c>
      <c r="C465" s="81"/>
      <c r="D465" s="82"/>
      <c r="E465" s="83"/>
      <c r="F465" s="84"/>
      <c r="G465" s="84"/>
      <c r="H465" s="84"/>
      <c r="I465" s="85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6"/>
      <c r="W465" s="86"/>
      <c r="X465" s="30"/>
      <c r="Y465" s="30"/>
      <c r="Z465" s="30"/>
      <c r="AA465" s="30"/>
      <c r="AB465" s="34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</row>
    <row r="466" spans="1:41" s="39" customFormat="1" ht="13.5" customHeight="1">
      <c r="A466" s="32"/>
      <c r="B466" s="104" t="s">
        <v>202</v>
      </c>
      <c r="C466" s="81"/>
      <c r="D466" s="82"/>
      <c r="E466" s="83"/>
      <c r="F466" s="84"/>
      <c r="G466" s="84"/>
      <c r="H466" s="84"/>
      <c r="I466" s="85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6"/>
      <c r="W466" s="86"/>
      <c r="X466" s="30"/>
      <c r="Y466" s="30"/>
      <c r="Z466" s="30"/>
      <c r="AA466" s="30"/>
      <c r="AB466" s="34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</row>
    <row r="467" spans="1:41" s="39" customFormat="1" ht="13.5" customHeight="1">
      <c r="A467" s="32"/>
      <c r="B467" s="104" t="s">
        <v>203</v>
      </c>
      <c r="C467" s="81"/>
      <c r="D467" s="82"/>
      <c r="E467" s="83"/>
      <c r="F467" s="84"/>
      <c r="G467" s="84"/>
      <c r="H467" s="84"/>
      <c r="I467" s="85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6"/>
      <c r="W467" s="86"/>
      <c r="X467" s="30"/>
      <c r="Y467" s="30"/>
      <c r="Z467" s="30"/>
      <c r="AA467" s="30"/>
      <c r="AB467" s="34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</row>
    <row r="468" spans="1:41" s="39" customFormat="1" ht="13.5" customHeight="1">
      <c r="A468" s="32"/>
      <c r="B468" s="104" t="s">
        <v>199</v>
      </c>
      <c r="C468" s="81"/>
      <c r="D468" s="82"/>
      <c r="E468" s="83"/>
      <c r="F468" s="84"/>
      <c r="G468" s="84"/>
      <c r="H468" s="84"/>
      <c r="I468" s="85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6"/>
      <c r="W468" s="86"/>
      <c r="X468" s="30"/>
      <c r="Y468" s="30"/>
      <c r="Z468" s="30"/>
      <c r="AA468" s="30"/>
      <c r="AB468" s="34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</row>
    <row r="469" spans="1:41" s="39" customFormat="1" ht="13.5" customHeight="1">
      <c r="A469" s="32"/>
      <c r="B469" s="104" t="s">
        <v>200</v>
      </c>
      <c r="C469" s="81"/>
      <c r="D469" s="82"/>
      <c r="E469" s="83"/>
      <c r="F469" s="84"/>
      <c r="G469" s="84"/>
      <c r="H469" s="84"/>
      <c r="I469" s="85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6"/>
      <c r="W469" s="86"/>
      <c r="X469" s="30"/>
      <c r="Y469" s="30"/>
      <c r="Z469" s="30"/>
      <c r="AA469" s="30"/>
      <c r="AB469" s="34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</row>
    <row r="470" spans="1:41" s="39" customFormat="1" ht="13.5" customHeight="1">
      <c r="A470" s="32"/>
      <c r="B470" s="104" t="s">
        <v>201</v>
      </c>
      <c r="C470" s="81"/>
      <c r="D470" s="82"/>
      <c r="E470" s="83"/>
      <c r="F470" s="84"/>
      <c r="G470" s="84"/>
      <c r="H470" s="84"/>
      <c r="I470" s="85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6"/>
      <c r="W470" s="86"/>
      <c r="X470" s="30"/>
      <c r="Y470" s="30"/>
      <c r="Z470" s="30"/>
      <c r="AA470" s="30"/>
      <c r="AB470" s="34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</row>
    <row r="471" spans="1:41" s="39" customFormat="1" ht="13.5" customHeight="1" thickBot="1">
      <c r="A471" s="32"/>
      <c r="B471" s="104"/>
      <c r="C471" s="81"/>
      <c r="D471" s="82"/>
      <c r="E471" s="83"/>
      <c r="F471" s="84"/>
      <c r="G471" s="84"/>
      <c r="H471" s="84"/>
      <c r="I471" s="85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6"/>
      <c r="W471" s="86"/>
      <c r="X471" s="30"/>
      <c r="Y471" s="30"/>
      <c r="Z471" s="30"/>
      <c r="AA471" s="30"/>
      <c r="AB471" s="34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</row>
    <row r="472" spans="2:23" ht="12" customHeight="1">
      <c r="B472" s="54" t="s">
        <v>136</v>
      </c>
      <c r="C472" s="55"/>
      <c r="D472" s="56"/>
      <c r="E472" s="57"/>
      <c r="F472" s="57" t="s">
        <v>137</v>
      </c>
      <c r="G472" s="58"/>
      <c r="H472" s="56"/>
      <c r="I472" s="56"/>
      <c r="J472" s="56"/>
      <c r="K472" s="59" t="s">
        <v>138</v>
      </c>
      <c r="L472" s="56"/>
      <c r="M472" s="56"/>
      <c r="N472" s="56"/>
      <c r="O472" s="59"/>
      <c r="P472" s="59" t="s">
        <v>139</v>
      </c>
      <c r="Q472" s="56"/>
      <c r="R472" s="56"/>
      <c r="S472" s="59"/>
      <c r="T472" s="59" t="s">
        <v>157</v>
      </c>
      <c r="U472" s="59"/>
      <c r="V472" s="59"/>
      <c r="W472" s="60"/>
    </row>
    <row r="473" spans="2:23" ht="12" customHeight="1">
      <c r="B473" s="61" t="s">
        <v>140</v>
      </c>
      <c r="F473" s="62" t="s">
        <v>141</v>
      </c>
      <c r="G473" s="2"/>
      <c r="K473" s="62" t="s">
        <v>142</v>
      </c>
      <c r="O473" s="62"/>
      <c r="P473" s="62" t="s">
        <v>143</v>
      </c>
      <c r="Q473" s="1"/>
      <c r="R473" s="1"/>
      <c r="S473" s="62"/>
      <c r="T473" s="62" t="s">
        <v>162</v>
      </c>
      <c r="U473" s="62"/>
      <c r="W473" s="63"/>
    </row>
    <row r="474" spans="1:41" s="62" customFormat="1" ht="12" customHeight="1">
      <c r="A474" s="1"/>
      <c r="B474" s="61" t="s">
        <v>144</v>
      </c>
      <c r="C474" s="3"/>
      <c r="D474" s="1"/>
      <c r="F474" s="62" t="s">
        <v>145</v>
      </c>
      <c r="G474" s="2"/>
      <c r="H474" s="1"/>
      <c r="K474" s="62" t="s">
        <v>146</v>
      </c>
      <c r="L474" s="1"/>
      <c r="M474" s="1"/>
      <c r="N474" s="1"/>
      <c r="O474" s="64"/>
      <c r="P474" s="64" t="s">
        <v>147</v>
      </c>
      <c r="Q474" s="1"/>
      <c r="T474" s="62" t="s">
        <v>168</v>
      </c>
      <c r="V474" s="1"/>
      <c r="W474" s="63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s="62" customFormat="1" ht="12" customHeight="1">
      <c r="A475" s="1"/>
      <c r="B475" s="65" t="s">
        <v>156</v>
      </c>
      <c r="C475" s="3"/>
      <c r="D475" s="1"/>
      <c r="F475" s="62" t="s">
        <v>148</v>
      </c>
      <c r="H475" s="1"/>
      <c r="K475" s="62" t="s">
        <v>149</v>
      </c>
      <c r="L475" s="1"/>
      <c r="M475" s="1"/>
      <c r="N475" s="1"/>
      <c r="O475" s="64"/>
      <c r="P475" s="64" t="s">
        <v>150</v>
      </c>
      <c r="Q475" s="1"/>
      <c r="S475" s="3"/>
      <c r="T475" s="3"/>
      <c r="U475" s="3"/>
      <c r="V475" s="1"/>
      <c r="W475" s="63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s="62" customFormat="1" ht="12.75" customHeight="1" thickBot="1">
      <c r="A476" s="1"/>
      <c r="B476" s="66" t="s">
        <v>151</v>
      </c>
      <c r="C476" s="67"/>
      <c r="D476" s="68"/>
      <c r="E476" s="69"/>
      <c r="F476" s="69" t="s">
        <v>152</v>
      </c>
      <c r="G476" s="68"/>
      <c r="H476" s="67"/>
      <c r="I476" s="69"/>
      <c r="J476" s="69"/>
      <c r="K476" s="68" t="s">
        <v>155</v>
      </c>
      <c r="L476" s="68"/>
      <c r="M476" s="68"/>
      <c r="N476" s="68"/>
      <c r="O476" s="69"/>
      <c r="P476" s="69" t="s">
        <v>153</v>
      </c>
      <c r="Q476" s="68"/>
      <c r="R476" s="68"/>
      <c r="S476" s="68"/>
      <c r="T476" s="68"/>
      <c r="U476" s="68"/>
      <c r="V476" s="68"/>
      <c r="W476" s="70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s="62" customFormat="1" ht="12.75" customHeight="1">
      <c r="A477" s="1"/>
      <c r="B477" s="64" t="s">
        <v>154</v>
      </c>
      <c r="C477" s="71"/>
      <c r="F477" s="72"/>
      <c r="H477" s="1"/>
      <c r="I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"/>
      <c r="W477" s="6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2:18" ht="12.75" customHeight="1">
      <c r="B478" s="73"/>
      <c r="C478" s="74" t="s">
        <v>243</v>
      </c>
      <c r="D478" s="75"/>
      <c r="E478" s="76"/>
      <c r="F478" s="72"/>
      <c r="G478" s="77"/>
      <c r="Q478" s="1"/>
      <c r="R478" s="1"/>
    </row>
    <row r="479" spans="2:18" ht="12.75" customHeight="1">
      <c r="B479" s="73"/>
      <c r="C479" s="74" t="s">
        <v>159</v>
      </c>
      <c r="D479" s="75"/>
      <c r="E479" s="76"/>
      <c r="F479" s="72"/>
      <c r="G479" s="77"/>
      <c r="Q479" s="1"/>
      <c r="R479" s="1"/>
    </row>
    <row r="480" spans="2:18" ht="12.75" customHeight="1">
      <c r="B480" s="73"/>
      <c r="C480" s="74"/>
      <c r="D480" s="75"/>
      <c r="E480" s="76"/>
      <c r="F480" s="72"/>
      <c r="G480" s="77"/>
      <c r="I480" s="117" t="s">
        <v>185</v>
      </c>
      <c r="J480" s="117"/>
      <c r="K480" s="117"/>
      <c r="L480" s="117"/>
      <c r="M480" s="117"/>
      <c r="Q480" s="1"/>
      <c r="R480" s="1"/>
    </row>
    <row r="481" spans="2:18" ht="12.75" customHeight="1" hidden="1">
      <c r="B481" s="78"/>
      <c r="C481" s="71"/>
      <c r="D481" s="79"/>
      <c r="E481" s="76"/>
      <c r="F481" s="72"/>
      <c r="G481" s="79"/>
      <c r="Q481" s="1"/>
      <c r="R481" s="1"/>
    </row>
    <row r="482" spans="2:18" ht="12.75" customHeight="1" hidden="1">
      <c r="B482" s="78"/>
      <c r="C482" s="71"/>
      <c r="D482" s="79"/>
      <c r="E482" s="76"/>
      <c r="F482" s="72"/>
      <c r="G482" s="79"/>
      <c r="Q482" s="1"/>
      <c r="R482" s="1"/>
    </row>
    <row r="483" spans="2:18" ht="12.75" customHeight="1" hidden="1">
      <c r="B483" s="78"/>
      <c r="C483" s="71"/>
      <c r="D483" s="79"/>
      <c r="E483" s="76"/>
      <c r="F483" s="72"/>
      <c r="G483" s="79"/>
      <c r="Q483" s="1"/>
      <c r="R483" s="1"/>
    </row>
    <row r="484" spans="2:18" ht="12.75" customHeight="1">
      <c r="B484" s="80"/>
      <c r="C484" s="2"/>
      <c r="D484" s="2"/>
      <c r="E484" s="2"/>
      <c r="F484" s="2"/>
      <c r="G484" s="2"/>
      <c r="I484" s="118" t="s">
        <v>169</v>
      </c>
      <c r="J484" s="119"/>
      <c r="K484" s="119"/>
      <c r="L484" s="119"/>
      <c r="M484" s="119"/>
      <c r="Q484" s="1"/>
      <c r="R484" s="1"/>
    </row>
    <row r="485" spans="9:18" ht="12.75" customHeight="1">
      <c r="I485" s="120"/>
      <c r="J485" s="120"/>
      <c r="K485" s="120"/>
      <c r="L485" s="120"/>
      <c r="M485" s="120"/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0:18" ht="12.75" customHeight="1">
      <c r="J493" s="87"/>
      <c r="Q493" s="1"/>
      <c r="R493" s="1"/>
    </row>
    <row r="494" spans="10:18" ht="12.75" customHeight="1">
      <c r="J494" s="88"/>
      <c r="Q494" s="1"/>
      <c r="R494" s="1"/>
    </row>
    <row r="495" spans="10:18" ht="12.75" customHeight="1">
      <c r="J495" s="88"/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  <row r="553" spans="17:18" ht="12.75" customHeight="1">
      <c r="Q553" s="1"/>
      <c r="R553" s="1"/>
    </row>
    <row r="554" spans="17:18" ht="12.75" customHeight="1">
      <c r="Q554" s="1"/>
      <c r="R554" s="1"/>
    </row>
    <row r="555" spans="17:18" ht="12.75" customHeight="1">
      <c r="Q555" s="1"/>
      <c r="R555" s="1"/>
    </row>
    <row r="556" spans="17:18" ht="12.75" customHeight="1">
      <c r="Q556" s="1"/>
      <c r="R556" s="1"/>
    </row>
    <row r="557" spans="17:18" ht="12.75" customHeight="1">
      <c r="Q557" s="1"/>
      <c r="R557" s="1"/>
    </row>
    <row r="558" spans="17:18" ht="12.75" customHeight="1">
      <c r="Q558" s="1"/>
      <c r="R558" s="1"/>
    </row>
    <row r="559" spans="17:18" ht="12.75" customHeight="1">
      <c r="Q559" s="1"/>
      <c r="R559" s="1"/>
    </row>
    <row r="560" spans="17:18" ht="12.75" customHeight="1">
      <c r="Q560" s="1"/>
      <c r="R560" s="1"/>
    </row>
    <row r="561" spans="17:18" ht="12.75" customHeight="1">
      <c r="Q561" s="1"/>
      <c r="R561" s="1"/>
    </row>
    <row r="562" spans="17:18" ht="12.75" customHeight="1">
      <c r="Q562" s="1"/>
      <c r="R562" s="1"/>
    </row>
    <row r="563" spans="17:18" ht="12.75" customHeight="1">
      <c r="Q563" s="1"/>
      <c r="R563" s="1"/>
    </row>
    <row r="564" spans="17:18" ht="12.75" customHeight="1">
      <c r="Q564" s="1"/>
      <c r="R564" s="1"/>
    </row>
    <row r="565" spans="17:18" ht="12.75" customHeight="1">
      <c r="Q565" s="1"/>
      <c r="R565" s="1"/>
    </row>
    <row r="566" spans="17:18" ht="12.75" customHeight="1">
      <c r="Q566" s="1"/>
      <c r="R566" s="1"/>
    </row>
    <row r="567" spans="17:18" ht="12.75" customHeight="1">
      <c r="Q567" s="1"/>
      <c r="R567" s="1"/>
    </row>
    <row r="568" spans="17:18" ht="12.75" customHeight="1">
      <c r="Q568" s="1"/>
      <c r="R568" s="1"/>
    </row>
    <row r="569" spans="17:18" ht="12.75" customHeight="1">
      <c r="Q569" s="1"/>
      <c r="R569" s="1"/>
    </row>
  </sheetData>
  <sheetProtection selectLockedCells="1" selectUnlockedCells="1"/>
  <mergeCells count="136">
    <mergeCell ref="B1:W1"/>
    <mergeCell ref="B2:B3"/>
    <mergeCell ref="C2:C4"/>
    <mergeCell ref="D2:E4"/>
    <mergeCell ref="F2:I2"/>
    <mergeCell ref="J2:P3"/>
    <mergeCell ref="Q2:R3"/>
    <mergeCell ref="S2:S4"/>
    <mergeCell ref="T2:T4"/>
    <mergeCell ref="U2:U4"/>
    <mergeCell ref="V2:W3"/>
    <mergeCell ref="F3:F4"/>
    <mergeCell ref="G3:H3"/>
    <mergeCell ref="I3:I4"/>
    <mergeCell ref="B9:B12"/>
    <mergeCell ref="B13:B15"/>
    <mergeCell ref="B16:B18"/>
    <mergeCell ref="B19:B21"/>
    <mergeCell ref="B22:B24"/>
    <mergeCell ref="B25:B27"/>
    <mergeCell ref="B28:B31"/>
    <mergeCell ref="B32:B34"/>
    <mergeCell ref="B35:B37"/>
    <mergeCell ref="B38:B40"/>
    <mergeCell ref="B41:B43"/>
    <mergeCell ref="B44:B49"/>
    <mergeCell ref="B50:B52"/>
    <mergeCell ref="B53:B55"/>
    <mergeCell ref="B56:B58"/>
    <mergeCell ref="B59:B61"/>
    <mergeCell ref="B62:B66"/>
    <mergeCell ref="B67:B70"/>
    <mergeCell ref="B71:B76"/>
    <mergeCell ref="B77:B79"/>
    <mergeCell ref="B80:B82"/>
    <mergeCell ref="B83:B85"/>
    <mergeCell ref="B86:B89"/>
    <mergeCell ref="B90:B92"/>
    <mergeCell ref="B93:B95"/>
    <mergeCell ref="B96:B98"/>
    <mergeCell ref="B99:B101"/>
    <mergeCell ref="B102:B104"/>
    <mergeCell ref="B105:B107"/>
    <mergeCell ref="B108:B112"/>
    <mergeCell ref="B113:B115"/>
    <mergeCell ref="B116:B119"/>
    <mergeCell ref="B120:B126"/>
    <mergeCell ref="B133:B135"/>
    <mergeCell ref="B136:B141"/>
    <mergeCell ref="B127:B132"/>
    <mergeCell ref="B142:B145"/>
    <mergeCell ref="B146:B148"/>
    <mergeCell ref="B149:B158"/>
    <mergeCell ref="B159:B161"/>
    <mergeCell ref="B162:B164"/>
    <mergeCell ref="B165:B169"/>
    <mergeCell ref="B170:B172"/>
    <mergeCell ref="B176:B178"/>
    <mergeCell ref="B173:B175"/>
    <mergeCell ref="B179:B182"/>
    <mergeCell ref="B183:B185"/>
    <mergeCell ref="B186:B190"/>
    <mergeCell ref="B191:B193"/>
    <mergeCell ref="B194:B196"/>
    <mergeCell ref="B197:B199"/>
    <mergeCell ref="B200:B209"/>
    <mergeCell ref="B210:B214"/>
    <mergeCell ref="B215:B217"/>
    <mergeCell ref="B218:B230"/>
    <mergeCell ref="B231:B233"/>
    <mergeCell ref="B234:B236"/>
    <mergeCell ref="B237:B239"/>
    <mergeCell ref="B240:B242"/>
    <mergeCell ref="B243:B245"/>
    <mergeCell ref="B246:B250"/>
    <mergeCell ref="B274:B276"/>
    <mergeCell ref="B277:B279"/>
    <mergeCell ref="B280:B282"/>
    <mergeCell ref="B251:B254"/>
    <mergeCell ref="B255:B257"/>
    <mergeCell ref="B261:B267"/>
    <mergeCell ref="B268:B273"/>
    <mergeCell ref="B258:B260"/>
    <mergeCell ref="B295:B297"/>
    <mergeCell ref="B298:B300"/>
    <mergeCell ref="B301:B303"/>
    <mergeCell ref="B283:B285"/>
    <mergeCell ref="B286:B288"/>
    <mergeCell ref="B289:B291"/>
    <mergeCell ref="B292:B294"/>
    <mergeCell ref="B309:B312"/>
    <mergeCell ref="B313:B315"/>
    <mergeCell ref="B316:B318"/>
    <mergeCell ref="B319:B323"/>
    <mergeCell ref="B324:B326"/>
    <mergeCell ref="B327:B329"/>
    <mergeCell ref="B330:B332"/>
    <mergeCell ref="B333:B337"/>
    <mergeCell ref="B338:B342"/>
    <mergeCell ref="B343:B345"/>
    <mergeCell ref="B346:B348"/>
    <mergeCell ref="B349:B351"/>
    <mergeCell ref="B352:B355"/>
    <mergeCell ref="B356:B358"/>
    <mergeCell ref="B359:B363"/>
    <mergeCell ref="B364:B366"/>
    <mergeCell ref="B367:B369"/>
    <mergeCell ref="B370:B373"/>
    <mergeCell ref="B374:B376"/>
    <mergeCell ref="B382:B384"/>
    <mergeCell ref="B377:B381"/>
    <mergeCell ref="B385:B389"/>
    <mergeCell ref="B390:B392"/>
    <mergeCell ref="B393:B395"/>
    <mergeCell ref="B400:B404"/>
    <mergeCell ref="B396:B399"/>
    <mergeCell ref="B405:B407"/>
    <mergeCell ref="B408:B411"/>
    <mergeCell ref="B416:B418"/>
    <mergeCell ref="B419:B421"/>
    <mergeCell ref="B412:B415"/>
    <mergeCell ref="B455:B457"/>
    <mergeCell ref="B422:B424"/>
    <mergeCell ref="B425:B427"/>
    <mergeCell ref="B428:B430"/>
    <mergeCell ref="B431:B433"/>
    <mergeCell ref="B304:B308"/>
    <mergeCell ref="B5:B8"/>
    <mergeCell ref="I480:M480"/>
    <mergeCell ref="I484:M485"/>
    <mergeCell ref="B443:B445"/>
    <mergeCell ref="B446:B448"/>
    <mergeCell ref="B449:B451"/>
    <mergeCell ref="B452:B454"/>
    <mergeCell ref="B434:B438"/>
    <mergeCell ref="B439:B442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2013-05-27T19:46:27Z</cp:lastPrinted>
  <dcterms:created xsi:type="dcterms:W3CDTF">2010-01-28T12:41:07Z</dcterms:created>
  <dcterms:modified xsi:type="dcterms:W3CDTF">2013-05-27T19:47:35Z</dcterms:modified>
  <cp:category/>
  <cp:version/>
  <cp:contentType/>
  <cp:contentStatus/>
  <cp:revision>4</cp:revision>
</cp:coreProperties>
</file>