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99" activeTab="0"/>
  </bookViews>
  <sheets>
    <sheet name="julho12" sheetId="1" r:id="rId1"/>
  </sheets>
  <externalReferences>
    <externalReference r:id="rId4"/>
  </externalReferences>
  <definedNames>
    <definedName name="_xlnm.Print_Area" localSheetId="0">'julho12'!$B$2:$W$470</definedName>
    <definedName name="Excel_BuiltIn__FilterDatabase">'julho12'!$B$4:$W$459</definedName>
    <definedName name="_xlnm.Print_Titles" localSheetId="0">'julho12'!$1:$4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<sst xmlns="http://schemas.openxmlformats.org/spreadsheetml/2006/main" count="606" uniqueCount="243">
  <si>
    <t>JUÍZES</t>
  </si>
  <si>
    <t>ÓRGÃO JULGADOR</t>
  </si>
  <si>
    <t>SITUAÇÃO</t>
  </si>
  <si>
    <t>PROCESSOS RECEBIDOS</t>
  </si>
  <si>
    <t>DECISÕES PROFERIDAS</t>
  </si>
  <si>
    <t>SALDO REMANESCENTE</t>
  </si>
  <si>
    <t>DEV. P/.  CONCILIAR</t>
  </si>
  <si>
    <t>CONV. DILIG.</t>
  </si>
  <si>
    <t>AUD. PRESID.</t>
  </si>
  <si>
    <t>PRODUTIVIDADE</t>
  </si>
  <si>
    <t>NO MÊS</t>
  </si>
  <si>
    <t>SALDO DE PROC. A JULGAR</t>
  </si>
  <si>
    <t>TOTAL</t>
  </si>
  <si>
    <t>(ordem alfabética)</t>
  </si>
  <si>
    <t>NP</t>
  </si>
  <si>
    <t>FP</t>
  </si>
  <si>
    <t>DEC. C/ RES. MERITO</t>
  </si>
  <si>
    <t>DEC.S/ RES. MÉRITO</t>
  </si>
  <si>
    <t>ED</t>
  </si>
  <si>
    <t>EE</t>
  </si>
  <si>
    <t>ET</t>
  </si>
  <si>
    <t>ACORDO HOMOL.</t>
  </si>
  <si>
    <t>(%.)</t>
  </si>
  <si>
    <t>(%) s/ os conciliados</t>
  </si>
  <si>
    <t>ADRIANA SATOU LESSA FERREIRA PINHEIRO</t>
  </si>
  <si>
    <t>AGENOR MARTINS PEREIRA</t>
  </si>
  <si>
    <t>ALBERTO CARLOS DE MENDONÇA</t>
  </si>
  <si>
    <t>em exercício</t>
  </si>
  <si>
    <t>ALINE PIMENTEL GONÇALVES</t>
  </si>
  <si>
    <t>AMAURY DE OLIVEIRA XAVIER RAMOS FILHO</t>
  </si>
  <si>
    <t>F</t>
  </si>
  <si>
    <t>ANA CATARINA CISNEIROS BARBOSA DE ARAÚJO</t>
  </si>
  <si>
    <t>ANA CATARINA MAGALHÃES SÁ LEITÃO</t>
  </si>
  <si>
    <t>ANA CLÁUDIA PETRUCCELLI DE LIMA</t>
  </si>
  <si>
    <t>ANA CRISTINA ARGOLO DE BARROS</t>
  </si>
  <si>
    <t>ANA ISABEL GUERRA BARBOSA KOURY</t>
  </si>
  <si>
    <t>ANA MARIA APARECIDA DE FREITAS</t>
  </si>
  <si>
    <t>ANA MARIA SOARES RIBEIRO DE BARROS</t>
  </si>
  <si>
    <t>ANDRÉ LUIZ MACHADO</t>
  </si>
  <si>
    <t>ANDRÉA CLÁUDIA DE SOUZA</t>
  </si>
  <si>
    <t>ANDRÉA KEUST BANDEIRA DE MELO</t>
  </si>
  <si>
    <t>ANTÔNIO AUGUSTO SERRA SECA</t>
  </si>
  <si>
    <t>ANTÔNIO WANDERLEY MARTINS</t>
  </si>
  <si>
    <t>LM</t>
  </si>
  <si>
    <t>ARMANDO DA CUNHA RABELO NETO</t>
  </si>
  <si>
    <t xml:space="preserve">AURÉLIO DA SILVA </t>
  </si>
  <si>
    <t>BARTOLOMEU ALVES BEZERRA</t>
  </si>
  <si>
    <t>BERNARDO NUNES DA COSTA NETO</t>
  </si>
  <si>
    <t>CAMILA AUGUSTA CABRAL   VASCONCELOS</t>
  </si>
  <si>
    <t>CARLA JANAÍNA MOURA LACERDA</t>
  </si>
  <si>
    <t>CARLA SANTINA DE SOUZA RODRIGUES</t>
  </si>
  <si>
    <t>CARMEM LÚCIA VIEIRA DO NASCIMENTO</t>
  </si>
  <si>
    <t>CÁSSIA BARATA DE MORAES SANTOS ARTEIRO</t>
  </si>
  <si>
    <t>CELIVALDO VAREJÃO FERREIRA DE ALCANTÂRA</t>
  </si>
  <si>
    <t>CLAUDIA CHRISTINA SANTOS R. DE LIMA</t>
  </si>
  <si>
    <t>CRISTINA FIGUEIRA CALLOU DA C. GONÇALVES</t>
  </si>
  <si>
    <t>DAISY ANDERSON TENÓRIO</t>
  </si>
  <si>
    <t>DANIELLE LIRA PIMENTEL ACIOLI</t>
  </si>
  <si>
    <t>DANILO CAVALCANTI DE OLIVEIRA</t>
  </si>
  <si>
    <t>EDMILSON ALVES DA SILVA</t>
  </si>
  <si>
    <t>EDSON LUIS BRYK</t>
  </si>
  <si>
    <t>EDUARDO HENRIQUE BRENNAND D. CÂMARA</t>
  </si>
  <si>
    <t>ESTER DE SOUZA ARAÚJO FURTADO</t>
  </si>
  <si>
    <t>EVELLYNE FERRAZ CORREIA FARIAS</t>
  </si>
  <si>
    <t>FÁBIO JOSÉ RIBEIRO DANTAS FURTADO</t>
  </si>
  <si>
    <t>FERNANDO CABRAL DE ANDRADE FILHO</t>
  </si>
  <si>
    <t>GENISON CIRILO CABRAL</t>
  </si>
  <si>
    <t>GEORGE SIDNEY NEIVA COELHO</t>
  </si>
  <si>
    <t>GILVANILDO DE ARAÚJO LIMA</t>
  </si>
  <si>
    <t>GUILHERME DE MORAIS MENDONÇA</t>
  </si>
  <si>
    <t>GUSTAVO AUGUSTO PIRES DE OLIVEIRA</t>
  </si>
  <si>
    <t>GUSTAVO HENRIQUE CISNEIROS BARBOSA</t>
  </si>
  <si>
    <t>HÉLIO LUIZ FERNANDES GALVÃO</t>
  </si>
  <si>
    <t>HUGO CAVALCANTI DE MELO FILHO</t>
  </si>
  <si>
    <t>IBRAHIM ALVES DA SILVA FILHO</t>
  </si>
  <si>
    <t>ILKA ELIANE DE SOUZA TAVARES</t>
  </si>
  <si>
    <t>JOAQUIM EMILIANO FORTALEZA DE LIMA</t>
  </si>
  <si>
    <t>JOSÉ ADELMY DA SILVA ACIOLI</t>
  </si>
  <si>
    <t>JOSÉ AUGUSTO SEGUNDO NETO</t>
  </si>
  <si>
    <t>JOSÉ LUCIANO ALEXO DA SILVA</t>
  </si>
  <si>
    <t>JOSÉ WILSON DA FONSECA</t>
  </si>
  <si>
    <t>JOSIMAR MENDES DA SILVA OLIVEIRA</t>
  </si>
  <si>
    <t>JUDITE GALINDO SAMPAIO CURCHATUZ</t>
  </si>
  <si>
    <t>JULIANA  LYRA  BARBOSA</t>
  </si>
  <si>
    <t>KATIA KEITIANE DA ROCHA PORTER</t>
  </si>
  <si>
    <t>LARRY DA SILVA OLIVEIRA FILHO</t>
  </si>
  <si>
    <t>LAURA CAVALCANTI DE MORAIS BOTELHO</t>
  </si>
  <si>
    <t>LILIANE MENDONÇA DE MORAES SOUZA</t>
  </si>
  <si>
    <t>LUCAS DE ARAÚJO CAVALCANTI</t>
  </si>
  <si>
    <t>LUCIANA PAULA CONFORTI</t>
  </si>
  <si>
    <t>LUIZ ANTÔNIO MAGALHÃES</t>
  </si>
  <si>
    <t>MARCELO DA VEIGA PESSOA BACALLÁ</t>
  </si>
  <si>
    <t>MARCIA DE WINDSOR NOGUEIRA</t>
  </si>
  <si>
    <t>MARCÍLIO FLORÊNCIO MOTA</t>
  </si>
  <si>
    <t>MARIA CONSOLATA RÊGO BATISTA</t>
  </si>
  <si>
    <t>MARIA DAS GRAÇAS DE ARRUDA FRANÇA</t>
  </si>
  <si>
    <t>MARIA DE BETÂNIA SILVEIRA VILELA</t>
  </si>
  <si>
    <t>MARIA DO CARMO VAREJÃO RICHLIN</t>
  </si>
  <si>
    <t>MARIA JOSÉ DE SOUZA</t>
  </si>
  <si>
    <t>MARILIA GABRIELA MENDES LEITE DE ANDRADE</t>
  </si>
  <si>
    <t>MARTA DE FÁTIMA LEAL CHAVES</t>
  </si>
  <si>
    <t>MARTHA CRISTINA DO NASCIMENTO CANTALICE</t>
  </si>
  <si>
    <t xml:space="preserve">MATHEUS RIBEIRO REZENDE </t>
  </si>
  <si>
    <t>MAYARD DE FRANÇA SABOYA ALBUQUERQUE</t>
  </si>
  <si>
    <t>MAYSA COSTA DE CARVALHO ALVES</t>
  </si>
  <si>
    <t>MILTON GOUVEIA DA SILVA FILHO</t>
  </si>
  <si>
    <t>MIRIAM SOUTO MAIOR DE MORAIS</t>
  </si>
  <si>
    <t>NECY LAPENDA PESSOA DE A. AZEVEDO</t>
  </si>
  <si>
    <t>PATRÍCIA COELHO BRANDÃO VIEIRA</t>
  </si>
  <si>
    <t>PATRICIA PEDROSA SOUTO MAIOR</t>
  </si>
  <si>
    <t>PAULA REGINA DE QUEIROZ M. G. MUNIZ</t>
  </si>
  <si>
    <t>PAULO DIAS DE ALCÂNTARA</t>
  </si>
  <si>
    <t>PLAUDENICE ABREU DE ARAÚJO B. VIEIRA</t>
  </si>
  <si>
    <t>RAFAEL VAL NOGUEIRA</t>
  </si>
  <si>
    <t xml:space="preserve">REGINA MAURA MACIEL LEMOS </t>
  </si>
  <si>
    <t>RENATA CONCEIÇÃO NÓBREGA SANTOS</t>
  </si>
  <si>
    <t>RENATA LAPENDA RODRIGUES DE MELO</t>
  </si>
  <si>
    <t>RENATA LIMA RODRIGUES</t>
  </si>
  <si>
    <t>ROBERTA CORRÊA DE ARAÚJO MONTEIRO</t>
  </si>
  <si>
    <t>ROBERTA VANCE HARROP</t>
  </si>
  <si>
    <t>ROBERTO DE FREIRE BASTOS</t>
  </si>
  <si>
    <t>ROBSON TAVARES DUTRA</t>
  </si>
  <si>
    <t>RODRIGO SAMICO CARNEIRO</t>
  </si>
  <si>
    <t>ROGÉRIO FREYRE COSTA</t>
  </si>
  <si>
    <t>ROSA MELO MACHADO RODRIGUES FARIA</t>
  </si>
  <si>
    <t>SAULO BOSCO SOUZA DE MEDEIROS</t>
  </si>
  <si>
    <t>SÉRGIO MURILO DE CARVALHO LINS</t>
  </si>
  <si>
    <t>SÉRGIO TORRES TEIXEIRA</t>
  </si>
  <si>
    <t>SÉRGIO VAISMAN</t>
  </si>
  <si>
    <t>SOHAD MARIA DUTRA CAHÚ</t>
  </si>
  <si>
    <t xml:space="preserve">SOLANGE MOURA DE ANDRADE </t>
  </si>
  <si>
    <t>TÂNIA REGINA CHENK ALLATTA</t>
  </si>
  <si>
    <t>THEODOMIRO ROMEIRO DOS SANTOS</t>
  </si>
  <si>
    <t>VANESSA ZACHÊ DE SÁ</t>
  </si>
  <si>
    <t>VIRGÍNIA LÚCIA DE SÁ BAHIA</t>
  </si>
  <si>
    <t>VIRGÍNIO HENRIQUES DE SÁ BENEVIDES</t>
  </si>
  <si>
    <t>WALKÍRIA MIRIAM PINTO DE CARVALHO</t>
  </si>
  <si>
    <t>WALMAR SOARES CHAVES</t>
  </si>
  <si>
    <t>YOLANDA POLIMENI DE A. PINHEIRO</t>
  </si>
  <si>
    <t>AF- AFASTAMENTO PARA CURSO/CONGRESSO</t>
  </si>
  <si>
    <t>LC- LICENÇA-CASAMENTO</t>
  </si>
  <si>
    <t>ME -MANDATO ELETIVO</t>
  </si>
  <si>
    <t>NP - NO PRAZO</t>
  </si>
  <si>
    <t>AUX - AUXILIAR DA PRESIDÊNCIA/CORREGEDORIA</t>
  </si>
  <si>
    <t>LG -  LICENÇA-GESTANTE</t>
  </si>
  <si>
    <t>RNE  -  RELATÓRIO NÃO ENVIADO</t>
  </si>
  <si>
    <t>FP - FORA DO PRAZO</t>
  </si>
  <si>
    <t>APO - APOSENTADORIA</t>
  </si>
  <si>
    <t>LM -  LICENÇA-MÉDICA</t>
  </si>
  <si>
    <t>OUT -  OUTROS</t>
  </si>
  <si>
    <t>ED - EMBARGOS DECLARATÓRIOS</t>
  </si>
  <si>
    <t>LP  -  LICENÇA-PRÊMIO</t>
  </si>
  <si>
    <t>OUV. - OUVIDOR</t>
  </si>
  <si>
    <t>EE - EMBARGOS À EXECUÇÃO</t>
  </si>
  <si>
    <t>LACF -LICENÇA ACOMP.FAMILIAR</t>
  </si>
  <si>
    <t>LPAT - LICENÇA-PATERNIDADE</t>
  </si>
  <si>
    <t>ET- EMBARGOS DE TERCEIRO</t>
  </si>
  <si>
    <t>VISTO, PUBLIQUE-SE.</t>
  </si>
  <si>
    <t xml:space="preserve">             C - CONVOCADO</t>
  </si>
  <si>
    <t xml:space="preserve">F - FÉRIAS </t>
  </si>
  <si>
    <t>Comp - COMPENSAÇÃO</t>
  </si>
  <si>
    <t xml:space="preserve">SITUAÇÃO </t>
  </si>
  <si>
    <t xml:space="preserve"> </t>
  </si>
  <si>
    <t>EDGAR GURJÃO WANDERLEY NETO</t>
  </si>
  <si>
    <t xml:space="preserve">SITUAÇÃO  </t>
  </si>
  <si>
    <t>LUTO- Ausência Falecim. Parente</t>
  </si>
  <si>
    <t xml:space="preserve">AUX </t>
  </si>
  <si>
    <t>ME</t>
  </si>
  <si>
    <t>OUT/10 a SET/12</t>
  </si>
  <si>
    <t>Comp</t>
  </si>
  <si>
    <t>C</t>
  </si>
  <si>
    <t>21.02.11 a 08.02.13</t>
  </si>
  <si>
    <t>09.04 até ult. Delib.</t>
  </si>
  <si>
    <t>KATHARINA VILA NOVA DE CARVALHO OLIVEIRA E SILVA</t>
  </si>
  <si>
    <t>5ª VT Jaboatão</t>
  </si>
  <si>
    <t>11.06 a 10.07.12</t>
  </si>
  <si>
    <t>25.06 a 24.07.12</t>
  </si>
  <si>
    <t>14.06 a 13.07.12</t>
  </si>
  <si>
    <t>3ª VT Ipojuca</t>
  </si>
  <si>
    <t>OUV                                           F</t>
  </si>
  <si>
    <t xml:space="preserve">AF                                </t>
  </si>
  <si>
    <t>25.06 a 31.07.12</t>
  </si>
  <si>
    <t>04.06 a 03.07.12</t>
  </si>
  <si>
    <t>LTRA- Licença p/ Trânsito</t>
  </si>
  <si>
    <t>21.06 a 20.07.12</t>
  </si>
  <si>
    <t>OUT</t>
  </si>
  <si>
    <t>SITUAÇÃO  *</t>
  </si>
  <si>
    <t xml:space="preserve">(*)No período de 25.06 a 24.07.12 o juiz Saulo Bosco Souza de Medeiros estava substituindo o juiz Ouvidor, Guilherme de Morais Mendonça. </t>
  </si>
  <si>
    <t>Gisane Barbosa de Araújo</t>
  </si>
  <si>
    <t>Desembargadora Corregedora
   do TRT 6a. Região</t>
  </si>
  <si>
    <t>LP</t>
  </si>
  <si>
    <t>04.06 a 04.07.12</t>
  </si>
  <si>
    <t xml:space="preserve">ANA CRISTINA DA SILVA </t>
  </si>
  <si>
    <t>PRODUTIVIDADE DOS JUÍZES DE 1ª INSTÂNCIA DO TRT DA 6ª REGIÃO - JULHO/2012</t>
  </si>
  <si>
    <t>ADALBERTO ELLERY BARREIRA NETO</t>
  </si>
  <si>
    <t>18.07 a 19.07.12</t>
  </si>
  <si>
    <t>05.07 a 06.07.12</t>
  </si>
  <si>
    <t>Comp                                         F</t>
  </si>
  <si>
    <t>06.07.12                      17.07 a 15.08.12</t>
  </si>
  <si>
    <t>Comp                                         LM</t>
  </si>
  <si>
    <t>23.07 a 26.07.12         30.07 a 03.08.12</t>
  </si>
  <si>
    <t>02.07 a 31.07.12</t>
  </si>
  <si>
    <t>16.07 a 14.08.12</t>
  </si>
  <si>
    <t>30.07 a 02.08.12</t>
  </si>
  <si>
    <t>11.07 28.09.12</t>
  </si>
  <si>
    <t>27.06 a 19.07.12</t>
  </si>
  <si>
    <t>17.07 a 15.08.12</t>
  </si>
  <si>
    <t>AUX                                                 Comp</t>
  </si>
  <si>
    <t>01.09.11 a 29.08.12        2a6,9a13,17a18.07</t>
  </si>
  <si>
    <t>03.07 a 01.08.12</t>
  </si>
  <si>
    <t>17.07.12</t>
  </si>
  <si>
    <t xml:space="preserve">F </t>
  </si>
  <si>
    <t xml:space="preserve">Comp                                                    LM </t>
  </si>
  <si>
    <t>02.07 a 06.07.12       25.07 a 04.08.12</t>
  </si>
  <si>
    <t>12.07 a 10.08.12</t>
  </si>
  <si>
    <t>10.07 a 12.07.12</t>
  </si>
  <si>
    <t>03.07 a 02.08.12</t>
  </si>
  <si>
    <t>23.07 a 21.08.12</t>
  </si>
  <si>
    <t xml:space="preserve">27.06 a 26.07.12 </t>
  </si>
  <si>
    <t>03a04, 18.7 a 1º.8</t>
  </si>
  <si>
    <t>MARIANA DE CARVALHO MILET</t>
  </si>
  <si>
    <t>Permuta em 12.07</t>
  </si>
  <si>
    <t>23.07 a 27.07.12</t>
  </si>
  <si>
    <t>LM                                                     F</t>
  </si>
  <si>
    <t>04,06,12 a 13.07     16.07 a 14.08.12</t>
  </si>
  <si>
    <t>09.07 a 07.08.12</t>
  </si>
  <si>
    <t xml:space="preserve">C </t>
  </si>
  <si>
    <t xml:space="preserve">09.04 até ult. Delib. </t>
  </si>
  <si>
    <t>LPAT</t>
  </si>
  <si>
    <t>26.07 a 30.07.12</t>
  </si>
  <si>
    <t>24.07 a 22.08.12</t>
  </si>
  <si>
    <t>22.07 a 27.07.12</t>
  </si>
  <si>
    <t>F                                                                C</t>
  </si>
  <si>
    <t>10.07 a 24.07.12</t>
  </si>
  <si>
    <t xml:space="preserve">(*)Retificada a produtividade do juiz Agenor Martins Pereira, referente ao mês de junho/12, em relação à 2ª VT do Recife, para constar como saldos de "15" no prazo e "0" fora do prazo. </t>
  </si>
  <si>
    <t xml:space="preserve">(*)Retificada a produtividade do juiz Danilo Cavalcanti de Oliveira, referente ao mês de junho/12, em relação à 1ª VT de Barreiros, para constar como saldos de "7" no prazo e "4" fora do prazo. </t>
  </si>
  <si>
    <t xml:space="preserve">(*)Retificada a produtividade da juíza Ilka Eliane de Souza Tavares, referente ao mês de junho/12, em relação à VT de Limoeiro, para constar como saldos de "0" no prazo e "3" fora do prazo. </t>
  </si>
  <si>
    <t xml:space="preserve">(*)Retificada a produtividade do juiz José Augusto Segundo Neto, referente ao mês de junho/12, em relação à 2ª VT do Cabo, para constar como saldos de "0" no prazo e "3" fora do prazo. </t>
  </si>
  <si>
    <t xml:space="preserve">(*)Retificada a produtividade da juíza Mª do Carmo Varejão Richlin, referente ao mês de junho/12, em relação à 2ª VT do Cabo, para constar como saldos de "8" no prazo e "26" fora do prazo. </t>
  </si>
  <si>
    <t xml:space="preserve">(*)Retificada a produtividade da juíza Roberta Corrêa de Araújo Monteiro, referente ao mês de junho/12, em relação à 14ª VT do Recife, para constar como saldos de "15" no prazo e "0" fora do prazo. </t>
  </si>
  <si>
    <t xml:space="preserve">(*)A juíza Mariana de Carvalho Milet (já vitaliciada) permutou para este Regional em 12.07.12 com o juiz Nilton Beltrão de Albuquerque Júnior (em vitaliciamento). </t>
  </si>
  <si>
    <t>Recife, 21 de agosto 2012</t>
  </si>
  <si>
    <t xml:space="preserve">02.07.12                                       03.07 a 28.08.12      </t>
  </si>
</sst>
</file>

<file path=xl/styles.xml><?xml version="1.0" encoding="utf-8"?>
<styleSheet xmlns="http://schemas.openxmlformats.org/spreadsheetml/2006/main">
  <numFmts count="1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mm/yy"/>
    <numFmt numFmtId="165" formatCode="dd&quot;  de  &quot;mmmm&quot;  de  &quot;yyyy"/>
    <numFmt numFmtId="166" formatCode="&quot;Sim&quot;;&quot;Sim&quot;;&quot;Não&quot;"/>
    <numFmt numFmtId="167" formatCode="&quot;Verdadeiro&quot;;&quot;Verdadeiro&quot;;&quot;Falso&quot;"/>
    <numFmt numFmtId="168" formatCode="&quot;Ativar&quot;;&quot;Ativar&quot;;&quot;Desativar&quot;"/>
    <numFmt numFmtId="169" formatCode="[$€-2]\ #,##0.00_);[Red]\([$€-2]\ #,##0.00\)"/>
  </numFmts>
  <fonts count="2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8" fillId="3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Alignment="0" applyProtection="0"/>
    <xf numFmtId="9" fontId="0" fillId="0" borderId="0" applyFill="0" applyBorder="0" applyAlignment="0" applyProtection="0"/>
    <xf numFmtId="0" fontId="10" fillId="16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3" fillId="0" borderId="9" applyNumberFormat="0" applyFill="0" applyAlignment="0" applyProtection="0"/>
  </cellStyleXfs>
  <cellXfs count="127">
    <xf numFmtId="0" fontId="0" fillId="0" borderId="0" xfId="0" applyAlignment="1">
      <alignment/>
    </xf>
    <xf numFmtId="0" fontId="18" fillId="0" borderId="0" xfId="0" applyFont="1" applyFill="1" applyBorder="1" applyAlignment="1" applyProtection="1">
      <alignment horizontal="center"/>
      <protection/>
    </xf>
    <xf numFmtId="0" fontId="18" fillId="0" borderId="0" xfId="0" applyFont="1" applyFill="1" applyBorder="1" applyAlignment="1" applyProtection="1">
      <alignment/>
      <protection/>
    </xf>
    <xf numFmtId="0" fontId="18" fillId="0" borderId="0" xfId="0" applyFont="1" applyFill="1" applyBorder="1" applyAlignment="1" applyProtection="1">
      <alignment/>
      <protection/>
    </xf>
    <xf numFmtId="1" fontId="18" fillId="0" borderId="0" xfId="0" applyNumberFormat="1" applyFont="1" applyFill="1" applyBorder="1" applyAlignment="1" applyProtection="1">
      <alignment horizontal="left"/>
      <protection/>
    </xf>
    <xf numFmtId="0" fontId="18" fillId="24" borderId="0" xfId="0" applyFont="1" applyFill="1" applyBorder="1" applyAlignment="1" applyProtection="1">
      <alignment horizontal="center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9" fillId="0" borderId="10" xfId="0" applyFont="1" applyFill="1" applyBorder="1" applyAlignment="1" applyProtection="1">
      <alignment vertical="center" wrapText="1"/>
      <protection/>
    </xf>
    <xf numFmtId="0" fontId="19" fillId="0" borderId="0" xfId="0" applyFont="1" applyFill="1" applyBorder="1" applyAlignment="1" applyProtection="1">
      <alignment vertical="center" wrapText="1"/>
      <protection/>
    </xf>
    <xf numFmtId="10" fontId="20" fillId="0" borderId="11" xfId="0" applyNumberFormat="1" applyFont="1" applyFill="1" applyBorder="1" applyAlignment="1" applyProtection="1">
      <alignment horizontal="center" vertical="center" wrapText="1"/>
      <protection/>
    </xf>
    <xf numFmtId="0" fontId="20" fillId="0" borderId="12" xfId="0" applyFont="1" applyFill="1" applyBorder="1" applyAlignment="1" applyProtection="1">
      <alignment horizontal="center" vertical="center"/>
      <protection/>
    </xf>
    <xf numFmtId="10" fontId="20" fillId="0" borderId="12" xfId="0" applyNumberFormat="1" applyFont="1" applyFill="1" applyBorder="1" applyAlignment="1" applyProtection="1">
      <alignment horizontal="center" vertical="center" wrapText="1"/>
      <protection/>
    </xf>
    <xf numFmtId="10" fontId="20" fillId="25" borderId="11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0" applyFont="1" applyFill="1" applyBorder="1" applyAlignment="1" applyProtection="1">
      <alignment horizontal="center" vertical="center"/>
      <protection/>
    </xf>
    <xf numFmtId="0" fontId="20" fillId="25" borderId="13" xfId="0" applyFont="1" applyFill="1" applyBorder="1" applyAlignment="1">
      <alignment vertical="center"/>
    </xf>
    <xf numFmtId="0" fontId="18" fillId="25" borderId="11" xfId="0" applyFont="1" applyFill="1" applyBorder="1" applyAlignment="1" applyProtection="1">
      <alignment horizontal="center" vertical="center"/>
      <protection locked="0"/>
    </xf>
    <xf numFmtId="1" fontId="18" fillId="25" borderId="11" xfId="0" applyNumberFormat="1" applyFont="1" applyFill="1" applyBorder="1" applyAlignment="1" applyProtection="1">
      <alignment horizontal="center" vertical="center" wrapText="1"/>
      <protection locked="0"/>
    </xf>
    <xf numFmtId="1" fontId="18" fillId="25" borderId="11" xfId="0" applyNumberFormat="1" applyFont="1" applyFill="1" applyBorder="1" applyAlignment="1" applyProtection="1">
      <alignment horizontal="center" vertical="center"/>
      <protection locked="0"/>
    </xf>
    <xf numFmtId="10" fontId="18" fillId="25" borderId="11" xfId="0" applyNumberFormat="1" applyFont="1" applyFill="1" applyBorder="1" applyAlignment="1" applyProtection="1">
      <alignment horizontal="center" vertical="center"/>
      <protection/>
    </xf>
    <xf numFmtId="10" fontId="18" fillId="0" borderId="0" xfId="49" applyNumberFormat="1" applyFont="1" applyFill="1" applyBorder="1" applyAlignment="1" applyProtection="1">
      <alignment/>
      <protection/>
    </xf>
    <xf numFmtId="0" fontId="20" fillId="25" borderId="13" xfId="0" applyFont="1" applyFill="1" applyBorder="1" applyAlignment="1">
      <alignment/>
    </xf>
    <xf numFmtId="0" fontId="20" fillId="25" borderId="11" xfId="0" applyFont="1" applyFill="1" applyBorder="1" applyAlignment="1" applyProtection="1">
      <alignment vertical="center"/>
      <protection locked="0"/>
    </xf>
    <xf numFmtId="0" fontId="18" fillId="25" borderId="14" xfId="0" applyFont="1" applyFill="1" applyBorder="1" applyAlignment="1" applyProtection="1">
      <alignment horizontal="center" vertical="center"/>
      <protection locked="0"/>
    </xf>
    <xf numFmtId="1" fontId="18" fillId="25" borderId="10" xfId="0" applyNumberFormat="1" applyFont="1" applyFill="1" applyBorder="1" applyAlignment="1" applyProtection="1">
      <alignment horizontal="center" vertical="center" wrapText="1"/>
      <protection locked="0"/>
    </xf>
    <xf numFmtId="0" fontId="20" fillId="25" borderId="11" xfId="0" applyFont="1" applyFill="1" applyBorder="1" applyAlignment="1" applyProtection="1">
      <alignment horizontal="center" vertical="center"/>
      <protection locked="0"/>
    </xf>
    <xf numFmtId="1" fontId="20" fillId="25" borderId="15" xfId="0" applyNumberFormat="1" applyFont="1" applyFill="1" applyBorder="1" applyAlignment="1" applyProtection="1">
      <alignment horizontal="center" vertical="center"/>
      <protection locked="0"/>
    </xf>
    <xf numFmtId="10" fontId="20" fillId="25" borderId="11" xfId="0" applyNumberFormat="1" applyFont="1" applyFill="1" applyBorder="1" applyAlignment="1" applyProtection="1">
      <alignment horizontal="center" vertical="center"/>
      <protection/>
    </xf>
    <xf numFmtId="0" fontId="18" fillId="25" borderId="0" xfId="0" applyFont="1" applyFill="1" applyBorder="1" applyAlignment="1" applyProtection="1">
      <alignment vertical="center"/>
      <protection/>
    </xf>
    <xf numFmtId="9" fontId="0" fillId="25" borderId="0" xfId="49" applyFill="1" applyBorder="1" applyAlignment="1" applyProtection="1">
      <alignment vertical="center"/>
      <protection/>
    </xf>
    <xf numFmtId="0" fontId="18" fillId="25" borderId="11" xfId="0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Fill="1" applyBorder="1" applyAlignment="1" applyProtection="1">
      <alignment vertical="center"/>
      <protection/>
    </xf>
    <xf numFmtId="9" fontId="0" fillId="0" borderId="0" xfId="49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horizontal="center" vertical="center"/>
      <protection/>
    </xf>
    <xf numFmtId="0" fontId="18" fillId="25" borderId="10" xfId="0" applyFont="1" applyFill="1" applyBorder="1" applyAlignment="1" applyProtection="1">
      <alignment horizontal="center" vertical="center"/>
      <protection locked="0"/>
    </xf>
    <xf numFmtId="10" fontId="18" fillId="0" borderId="0" xfId="49" applyNumberFormat="1" applyFont="1" applyFill="1" applyBorder="1" applyAlignment="1" applyProtection="1">
      <alignment vertical="center"/>
      <protection/>
    </xf>
    <xf numFmtId="0" fontId="18" fillId="0" borderId="0" xfId="0" applyFont="1" applyFill="1" applyAlignment="1">
      <alignment horizontal="center"/>
    </xf>
    <xf numFmtId="0" fontId="18" fillId="0" borderId="0" xfId="0" applyFont="1" applyFill="1" applyAlignment="1">
      <alignment horizontal="right" wrapText="1"/>
    </xf>
    <xf numFmtId="0" fontId="18" fillId="0" borderId="0" xfId="0" applyFont="1" applyFill="1" applyAlignment="1">
      <alignment horizontal="right"/>
    </xf>
    <xf numFmtId="10" fontId="18" fillId="0" borderId="0" xfId="49" applyNumberFormat="1" applyFont="1" applyFill="1" applyBorder="1" applyAlignment="1" applyProtection="1">
      <alignment horizontal="right"/>
      <protection/>
    </xf>
    <xf numFmtId="0" fontId="18" fillId="0" borderId="0" xfId="0" applyFont="1" applyFill="1" applyBorder="1" applyAlignment="1" applyProtection="1">
      <alignment horizontal="right" vertical="center"/>
      <protection/>
    </xf>
    <xf numFmtId="1" fontId="20" fillId="25" borderId="11" xfId="0" applyNumberFormat="1" applyFont="1" applyFill="1" applyBorder="1" applyAlignment="1" applyProtection="1">
      <alignment horizontal="center" vertical="center"/>
      <protection locked="0"/>
    </xf>
    <xf numFmtId="1" fontId="18" fillId="25" borderId="15" xfId="0" applyNumberFormat="1" applyFont="1" applyFill="1" applyBorder="1" applyAlignment="1" applyProtection="1">
      <alignment horizontal="center" vertical="center" wrapText="1"/>
      <protection locked="0"/>
    </xf>
    <xf numFmtId="0" fontId="18" fillId="25" borderId="12" xfId="0" applyFont="1" applyFill="1" applyBorder="1" applyAlignment="1" applyProtection="1">
      <alignment horizontal="center" vertical="center" wrapText="1"/>
      <protection locked="0"/>
    </xf>
    <xf numFmtId="0" fontId="18" fillId="25" borderId="12" xfId="0" applyFont="1" applyFill="1" applyBorder="1" applyAlignment="1" applyProtection="1">
      <alignment horizontal="center" vertical="center"/>
      <protection locked="0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right"/>
    </xf>
    <xf numFmtId="10" fontId="18" fillId="0" borderId="0" xfId="49" applyNumberFormat="1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1" fontId="20" fillId="25" borderId="11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Fill="1" applyBorder="1" applyAlignment="1" applyProtection="1">
      <alignment vertical="center"/>
      <protection/>
    </xf>
    <xf numFmtId="10" fontId="20" fillId="0" borderId="0" xfId="49" applyNumberFormat="1" applyFont="1" applyFill="1" applyBorder="1" applyAlignment="1" applyProtection="1">
      <alignment vertical="center"/>
      <protection/>
    </xf>
    <xf numFmtId="0" fontId="20" fillId="25" borderId="10" xfId="0" applyFont="1" applyFill="1" applyBorder="1" applyAlignment="1" applyProtection="1">
      <alignment horizontal="center" vertical="center"/>
      <protection locked="0"/>
    </xf>
    <xf numFmtId="1" fontId="20" fillId="25" borderId="10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Fill="1" applyBorder="1" applyAlignment="1" applyProtection="1">
      <alignment horizontal="right" vertical="center"/>
      <protection/>
    </xf>
    <xf numFmtId="0" fontId="19" fillId="0" borderId="0" xfId="0" applyFont="1" applyAlignment="1">
      <alignment horizontal="left"/>
    </xf>
    <xf numFmtId="0" fontId="21" fillId="0" borderId="16" xfId="0" applyFont="1" applyFill="1" applyBorder="1" applyAlignment="1" applyProtection="1">
      <alignment horizontal="left"/>
      <protection/>
    </xf>
    <xf numFmtId="0" fontId="18" fillId="0" borderId="17" xfId="0" applyFont="1" applyFill="1" applyBorder="1" applyAlignment="1" applyProtection="1">
      <alignment/>
      <protection/>
    </xf>
    <xf numFmtId="0" fontId="18" fillId="0" borderId="17" xfId="0" applyFont="1" applyFill="1" applyBorder="1" applyAlignment="1" applyProtection="1">
      <alignment horizontal="center"/>
      <protection/>
    </xf>
    <xf numFmtId="1" fontId="18" fillId="0" borderId="17" xfId="0" applyNumberFormat="1" applyFont="1" applyFill="1" applyBorder="1" applyAlignment="1" applyProtection="1">
      <alignment horizontal="left"/>
      <protection/>
    </xf>
    <xf numFmtId="0" fontId="18" fillId="0" borderId="17" xfId="0" applyFont="1" applyFill="1" applyBorder="1" applyAlignment="1" applyProtection="1">
      <alignment/>
      <protection/>
    </xf>
    <xf numFmtId="0" fontId="18" fillId="0" borderId="17" xfId="0" applyFont="1" applyFill="1" applyBorder="1" applyAlignment="1" applyProtection="1">
      <alignment horizontal="left"/>
      <protection/>
    </xf>
    <xf numFmtId="0" fontId="18" fillId="0" borderId="18" xfId="0" applyNumberFormat="1" applyFont="1" applyFill="1" applyBorder="1" applyAlignment="1" applyProtection="1">
      <alignment/>
      <protection/>
    </xf>
    <xf numFmtId="0" fontId="18" fillId="0" borderId="19" xfId="0" applyFont="1" applyFill="1" applyBorder="1" applyAlignment="1" applyProtection="1">
      <alignment/>
      <protection/>
    </xf>
    <xf numFmtId="0" fontId="18" fillId="0" borderId="0" xfId="0" applyFont="1" applyFill="1" applyBorder="1" applyAlignment="1" applyProtection="1">
      <alignment horizontal="left"/>
      <protection/>
    </xf>
    <xf numFmtId="0" fontId="18" fillId="0" borderId="20" xfId="0" applyNumberFormat="1" applyFont="1" applyFill="1" applyBorder="1" applyAlignment="1" applyProtection="1">
      <alignment/>
      <protection/>
    </xf>
    <xf numFmtId="0" fontId="21" fillId="0" borderId="0" xfId="0" applyFont="1" applyFill="1" applyBorder="1" applyAlignment="1" applyProtection="1">
      <alignment/>
      <protection/>
    </xf>
    <xf numFmtId="0" fontId="21" fillId="0" borderId="19" xfId="0" applyFont="1" applyFill="1" applyBorder="1" applyAlignment="1" applyProtection="1">
      <alignment/>
      <protection/>
    </xf>
    <xf numFmtId="0" fontId="18" fillId="0" borderId="21" xfId="0" applyFont="1" applyFill="1" applyBorder="1" applyAlignment="1" applyProtection="1">
      <alignment/>
      <protection/>
    </xf>
    <xf numFmtId="0" fontId="18" fillId="0" borderId="22" xfId="0" applyFont="1" applyFill="1" applyBorder="1" applyAlignment="1" applyProtection="1">
      <alignment/>
      <protection/>
    </xf>
    <xf numFmtId="0" fontId="18" fillId="0" borderId="22" xfId="0" applyFont="1" applyFill="1" applyBorder="1" applyAlignment="1" applyProtection="1">
      <alignment horizontal="center"/>
      <protection/>
    </xf>
    <xf numFmtId="0" fontId="18" fillId="0" borderId="22" xfId="0" applyFont="1" applyFill="1" applyBorder="1" applyAlignment="1" applyProtection="1">
      <alignment horizontal="left"/>
      <protection/>
    </xf>
    <xf numFmtId="0" fontId="18" fillId="0" borderId="23" xfId="0" applyNumberFormat="1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1" fontId="0" fillId="0" borderId="0" xfId="0" applyNumberFormat="1" applyFont="1" applyFill="1" applyBorder="1" applyAlignment="1" applyProtection="1">
      <alignment horizontal="left"/>
      <protection/>
    </xf>
    <xf numFmtId="0" fontId="21" fillId="0" borderId="0" xfId="0" applyFont="1" applyFill="1" applyBorder="1" applyAlignment="1" applyProtection="1">
      <alignment horizontal="right"/>
      <protection/>
    </xf>
    <xf numFmtId="165" fontId="21" fillId="0" borderId="0" xfId="0" applyNumberFormat="1" applyFont="1" applyFill="1" applyAlignment="1">
      <alignment/>
    </xf>
    <xf numFmtId="0" fontId="21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 wrapText="1"/>
      <protection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21" fillId="0" borderId="0" xfId="0" applyFont="1" applyBorder="1" applyAlignment="1" applyProtection="1">
      <alignment horizontal="right" wrapText="1"/>
      <protection/>
    </xf>
    <xf numFmtId="0" fontId="20" fillId="25" borderId="0" xfId="0" applyFont="1" applyFill="1" applyBorder="1" applyAlignment="1" applyProtection="1">
      <alignment vertical="center"/>
      <protection locked="0"/>
    </xf>
    <xf numFmtId="0" fontId="18" fillId="25" borderId="0" xfId="0" applyFont="1" applyFill="1" applyBorder="1" applyAlignment="1" applyProtection="1">
      <alignment horizontal="center" vertical="center"/>
      <protection locked="0"/>
    </xf>
    <xf numFmtId="1" fontId="18" fillId="25" borderId="0" xfId="0" applyNumberFormat="1" applyFont="1" applyFill="1" applyBorder="1" applyAlignment="1" applyProtection="1">
      <alignment horizontal="center" vertical="center" wrapText="1"/>
      <protection locked="0"/>
    </xf>
    <xf numFmtId="0" fontId="20" fillId="25" borderId="0" xfId="0" applyFont="1" applyFill="1" applyBorder="1" applyAlignment="1" applyProtection="1">
      <alignment horizontal="center" vertical="center"/>
      <protection locked="0"/>
    </xf>
    <xf numFmtId="1" fontId="20" fillId="25" borderId="0" xfId="0" applyNumberFormat="1" applyFont="1" applyFill="1" applyBorder="1" applyAlignment="1" applyProtection="1">
      <alignment horizontal="center" vertical="center"/>
      <protection locked="0"/>
    </xf>
    <xf numFmtId="10" fontId="20" fillId="25" borderId="0" xfId="0" applyNumberFormat="1" applyFont="1" applyFill="1" applyBorder="1" applyAlignment="1" applyProtection="1">
      <alignment horizontal="center" vertical="center"/>
      <protection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0" fillId="25" borderId="0" xfId="0" applyFont="1" applyFill="1" applyBorder="1" applyAlignment="1" applyProtection="1">
      <alignment horizontal="center" vertical="center" wrapText="1"/>
      <protection locked="0"/>
    </xf>
    <xf numFmtId="0" fontId="20" fillId="0" borderId="11" xfId="0" applyFont="1" applyFill="1" applyBorder="1" applyAlignment="1">
      <alignment vertical="center"/>
    </xf>
    <xf numFmtId="0" fontId="18" fillId="0" borderId="15" xfId="0" applyFont="1" applyFill="1" applyBorder="1" applyAlignment="1" applyProtection="1">
      <alignment horizontal="center" vertical="center" wrapText="1"/>
      <protection locked="0"/>
    </xf>
    <xf numFmtId="1" fontId="18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11" xfId="0" applyFont="1" applyFill="1" applyBorder="1" applyAlignment="1" applyProtection="1">
      <alignment horizontal="center" vertical="center"/>
      <protection locked="0"/>
    </xf>
    <xf numFmtId="1" fontId="18" fillId="0" borderId="11" xfId="0" applyNumberFormat="1" applyFont="1" applyFill="1" applyBorder="1" applyAlignment="1" applyProtection="1">
      <alignment horizontal="center" vertical="center"/>
      <protection locked="0"/>
    </xf>
    <xf numFmtId="10" fontId="18" fillId="0" borderId="11" xfId="0" applyNumberFormat="1" applyFont="1" applyFill="1" applyBorder="1" applyAlignment="1" applyProtection="1">
      <alignment horizontal="center" vertical="center"/>
      <protection/>
    </xf>
    <xf numFmtId="0" fontId="20" fillId="0" borderId="11" xfId="0" applyFont="1" applyFill="1" applyBorder="1" applyAlignment="1">
      <alignment/>
    </xf>
    <xf numFmtId="0" fontId="20" fillId="0" borderId="11" xfId="0" applyFont="1" applyFill="1" applyBorder="1" applyAlignment="1" applyProtection="1">
      <alignment vertical="center"/>
      <protection locked="0"/>
    </xf>
    <xf numFmtId="0" fontId="18" fillId="0" borderId="14" xfId="0" applyFont="1" applyFill="1" applyBorder="1" applyAlignment="1" applyProtection="1">
      <alignment horizontal="center" vertical="center"/>
      <protection locked="0"/>
    </xf>
    <xf numFmtId="1" fontId="18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11" xfId="0" applyFont="1" applyFill="1" applyBorder="1" applyAlignment="1" applyProtection="1">
      <alignment horizontal="center" vertical="center"/>
      <protection locked="0"/>
    </xf>
    <xf numFmtId="1" fontId="20" fillId="0" borderId="15" xfId="0" applyNumberFormat="1" applyFont="1" applyFill="1" applyBorder="1" applyAlignment="1" applyProtection="1">
      <alignment horizontal="center" vertical="center"/>
      <protection locked="0"/>
    </xf>
    <xf numFmtId="10" fontId="20" fillId="0" borderId="11" xfId="0" applyNumberFormat="1" applyFont="1" applyFill="1" applyBorder="1" applyAlignment="1" applyProtection="1">
      <alignment horizontal="center" vertical="center"/>
      <protection/>
    </xf>
    <xf numFmtId="0" fontId="18" fillId="25" borderId="10" xfId="0" applyFont="1" applyFill="1" applyBorder="1" applyAlignment="1" applyProtection="1">
      <alignment horizontal="center" vertical="center" wrapText="1"/>
      <protection locked="0"/>
    </xf>
    <xf numFmtId="0" fontId="19" fillId="26" borderId="0" xfId="0" applyFont="1" applyFill="1" applyAlignment="1">
      <alignment horizontal="left"/>
    </xf>
    <xf numFmtId="0" fontId="18" fillId="0" borderId="15" xfId="0" applyFont="1" applyFill="1" applyBorder="1" applyAlignment="1" applyProtection="1">
      <alignment horizontal="center" vertical="center"/>
      <protection locked="0"/>
    </xf>
    <xf numFmtId="0" fontId="20" fillId="25" borderId="11" xfId="0" applyFont="1" applyFill="1" applyBorder="1" applyAlignment="1" applyProtection="1">
      <alignment horizontal="center" vertical="center" wrapText="1"/>
      <protection locked="0"/>
    </xf>
    <xf numFmtId="0" fontId="20" fillId="0" borderId="12" xfId="0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horizontal="center"/>
      <protection/>
    </xf>
    <xf numFmtId="0" fontId="20" fillId="25" borderId="24" xfId="0" applyFont="1" applyFill="1" applyBorder="1" applyAlignment="1" applyProtection="1">
      <alignment horizontal="center" vertical="center" wrapText="1"/>
      <protection locked="0"/>
    </xf>
    <xf numFmtId="0" fontId="20" fillId="26" borderId="12" xfId="0" applyFont="1" applyFill="1" applyBorder="1" applyAlignment="1" applyProtection="1">
      <alignment horizontal="center" vertical="center" wrapText="1"/>
      <protection locked="0"/>
    </xf>
    <xf numFmtId="0" fontId="20" fillId="25" borderId="12" xfId="0" applyFont="1" applyFill="1" applyBorder="1" applyAlignment="1" applyProtection="1">
      <alignment horizontal="center" vertical="center" wrapText="1"/>
      <protection locked="0"/>
    </xf>
    <xf numFmtId="164" fontId="20" fillId="0" borderId="12" xfId="0" applyNumberFormat="1" applyFont="1" applyFill="1" applyBorder="1" applyAlignment="1" applyProtection="1">
      <alignment horizontal="center" vertical="center" wrapText="1"/>
      <protection/>
    </xf>
    <xf numFmtId="10" fontId="20" fillId="0" borderId="10" xfId="0" applyNumberFormat="1" applyFont="1" applyFill="1" applyBorder="1" applyAlignment="1" applyProtection="1">
      <alignment horizontal="center" vertical="center" wrapText="1"/>
      <protection/>
    </xf>
    <xf numFmtId="10" fontId="20" fillId="0" borderId="11" xfId="0" applyNumberFormat="1" applyFont="1" applyFill="1" applyBorder="1" applyAlignment="1" applyProtection="1">
      <alignment horizontal="center" vertical="center" wrapText="1"/>
      <protection/>
    </xf>
    <xf numFmtId="10" fontId="20" fillId="0" borderId="15" xfId="0" applyNumberFormat="1" applyFont="1" applyFill="1" applyBorder="1" applyAlignment="1" applyProtection="1">
      <alignment horizontal="center" vertical="center"/>
      <protection/>
    </xf>
    <xf numFmtId="0" fontId="19" fillId="0" borderId="11" xfId="0" applyFont="1" applyFill="1" applyBorder="1" applyAlignment="1" applyProtection="1">
      <alignment horizontal="center" vertical="center" wrapText="1"/>
      <protection/>
    </xf>
    <xf numFmtId="0" fontId="20" fillId="0" borderId="25" xfId="0" applyFont="1" applyFill="1" applyBorder="1" applyAlignment="1" applyProtection="1">
      <alignment horizontal="center" vertical="center"/>
      <protection/>
    </xf>
    <xf numFmtId="0" fontId="20" fillId="0" borderId="11" xfId="0" applyFont="1" applyFill="1" applyBorder="1" applyAlignment="1" applyProtection="1">
      <alignment horizontal="center" vertical="center" wrapText="1"/>
      <protection/>
    </xf>
    <xf numFmtId="164" fontId="20" fillId="0" borderId="12" xfId="0" applyNumberFormat="1" applyFont="1" applyFill="1" applyBorder="1" applyAlignment="1" applyProtection="1">
      <alignment horizontal="center" vertical="center"/>
      <protection/>
    </xf>
    <xf numFmtId="0" fontId="20" fillId="0" borderId="12" xfId="0" applyFont="1" applyFill="1" applyBorder="1" applyAlignment="1" applyProtection="1">
      <alignment horizontal="center" wrapText="1"/>
      <protection/>
    </xf>
    <xf numFmtId="164" fontId="20" fillId="25" borderId="12" xfId="0" applyNumberFormat="1" applyFont="1" applyFill="1" applyBorder="1" applyAlignment="1" applyProtection="1">
      <alignment horizontal="center" vertical="center" wrapText="1"/>
      <protection/>
    </xf>
    <xf numFmtId="0" fontId="20" fillId="0" borderId="12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 1" xfId="55"/>
    <cellStyle name="Título 2" xfId="56"/>
    <cellStyle name="Título 3" xfId="57"/>
    <cellStyle name="Título 4" xfId="58"/>
    <cellStyle name="Título 5" xfId="59"/>
    <cellStyle name="Total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a%20Instancia\Correg\Docs\produtividade\para%20publicar\produtividade%202011\vitaliciados%20-%20meta%207%20-%20VARA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aras"/>
      <sheetName val="juizes"/>
      <sheetName val="Plan3"/>
      <sheetName val="REF"/>
      <sheetName val="EF"/>
      <sheetName val="F"/>
      <sheetName val=""/>
      <sheetName val="v"/>
      <sheetName val="va"/>
      <sheetName val="var"/>
      <sheetName val="vara"/>
      <sheetName val="#REF"/>
      <sheetName val="#RE"/>
      <sheetName val="#R"/>
      <sheetName val="#"/>
    </sheetNames>
    <sheetDataSet>
      <sheetData sheetId="0">
        <row r="4">
          <cell r="A4">
            <v>1</v>
          </cell>
          <cell r="B4" t="str">
            <v>1ª VT Recife</v>
          </cell>
        </row>
        <row r="5">
          <cell r="A5">
            <v>2</v>
          </cell>
          <cell r="B5" t="str">
            <v>2ª VT Recife</v>
          </cell>
        </row>
        <row r="6">
          <cell r="A6">
            <v>3</v>
          </cell>
          <cell r="B6" t="str">
            <v>3ª VT Recife</v>
          </cell>
        </row>
        <row r="7">
          <cell r="A7">
            <v>4</v>
          </cell>
          <cell r="B7" t="str">
            <v>4ª VT Recife</v>
          </cell>
        </row>
        <row r="8">
          <cell r="A8">
            <v>5</v>
          </cell>
          <cell r="B8" t="str">
            <v>5ª VT Recife</v>
          </cell>
        </row>
        <row r="9">
          <cell r="A9">
            <v>6</v>
          </cell>
          <cell r="B9" t="str">
            <v>6ª VT Recife</v>
          </cell>
        </row>
        <row r="10">
          <cell r="A10">
            <v>7</v>
          </cell>
          <cell r="B10" t="str">
            <v>7ª VT Recife</v>
          </cell>
        </row>
        <row r="11">
          <cell r="A11">
            <v>8</v>
          </cell>
          <cell r="B11" t="str">
            <v>8ª VT Recife</v>
          </cell>
        </row>
        <row r="12">
          <cell r="A12">
            <v>9</v>
          </cell>
          <cell r="B12" t="str">
            <v>9ª VT Recife</v>
          </cell>
        </row>
        <row r="13">
          <cell r="A13">
            <v>10</v>
          </cell>
          <cell r="B13" t="str">
            <v>10ª VT Recife</v>
          </cell>
        </row>
        <row r="14">
          <cell r="A14">
            <v>11</v>
          </cell>
          <cell r="B14" t="str">
            <v>11ª VT Recife</v>
          </cell>
        </row>
        <row r="15">
          <cell r="A15">
            <v>12</v>
          </cell>
          <cell r="B15" t="str">
            <v>12ª VT Recife</v>
          </cell>
        </row>
        <row r="16">
          <cell r="A16">
            <v>13</v>
          </cell>
          <cell r="B16" t="str">
            <v>13ª VT Recife</v>
          </cell>
        </row>
        <row r="17">
          <cell r="A17">
            <v>14</v>
          </cell>
          <cell r="B17" t="str">
            <v>14ª VT Recife</v>
          </cell>
        </row>
        <row r="18">
          <cell r="A18">
            <v>15</v>
          </cell>
          <cell r="B18" t="str">
            <v>15ª VT Recife</v>
          </cell>
        </row>
        <row r="19">
          <cell r="A19">
            <v>16</v>
          </cell>
          <cell r="B19" t="str">
            <v>16ª VT Recife</v>
          </cell>
        </row>
        <row r="20">
          <cell r="A20">
            <v>17</v>
          </cell>
          <cell r="B20" t="str">
            <v>17ª VT Recife</v>
          </cell>
        </row>
        <row r="21">
          <cell r="A21">
            <v>18</v>
          </cell>
          <cell r="B21" t="str">
            <v>18ª VT Recife</v>
          </cell>
        </row>
        <row r="22">
          <cell r="A22">
            <v>19</v>
          </cell>
          <cell r="B22" t="str">
            <v>19ª VT Recife</v>
          </cell>
        </row>
        <row r="23">
          <cell r="A23">
            <v>20</v>
          </cell>
          <cell r="B23" t="str">
            <v>20ª VT Recife</v>
          </cell>
        </row>
        <row r="24">
          <cell r="A24">
            <v>21</v>
          </cell>
          <cell r="B24" t="str">
            <v>21ª VT Recife</v>
          </cell>
        </row>
        <row r="25">
          <cell r="A25">
            <v>22</v>
          </cell>
          <cell r="B25" t="str">
            <v>22ª VT Recife</v>
          </cell>
        </row>
        <row r="26">
          <cell r="A26">
            <v>23</v>
          </cell>
          <cell r="B26" t="str">
            <v>23ª VT Recife</v>
          </cell>
        </row>
        <row r="27">
          <cell r="A27">
            <v>24</v>
          </cell>
          <cell r="B27" t="str">
            <v>1ª VT Barreiros</v>
          </cell>
        </row>
        <row r="28">
          <cell r="A28">
            <v>25</v>
          </cell>
          <cell r="B28" t="str">
            <v>2ª VT Barreiros</v>
          </cell>
        </row>
        <row r="29">
          <cell r="A29">
            <v>26</v>
          </cell>
          <cell r="B29" t="str">
            <v>1ª VT Cabo</v>
          </cell>
        </row>
        <row r="30">
          <cell r="A30">
            <v>27</v>
          </cell>
          <cell r="B30" t="str">
            <v>2ª VT Cabo</v>
          </cell>
        </row>
        <row r="31">
          <cell r="A31">
            <v>28</v>
          </cell>
          <cell r="B31" t="str">
            <v>1ª VT Caruaru</v>
          </cell>
        </row>
        <row r="32">
          <cell r="A32">
            <v>29</v>
          </cell>
          <cell r="B32" t="str">
            <v>2ª VT Caruaru</v>
          </cell>
        </row>
        <row r="33">
          <cell r="A33">
            <v>30</v>
          </cell>
          <cell r="B33" t="str">
            <v>3ª VT Caruaru</v>
          </cell>
        </row>
        <row r="34">
          <cell r="A34">
            <v>31</v>
          </cell>
          <cell r="B34" t="str">
            <v>VT Igarassu</v>
          </cell>
        </row>
        <row r="35">
          <cell r="A35">
            <v>32</v>
          </cell>
          <cell r="B35" t="str">
            <v>1ª VT Ipojuca</v>
          </cell>
        </row>
        <row r="36">
          <cell r="A36">
            <v>33</v>
          </cell>
          <cell r="B36" t="str">
            <v>2ª VT Ipojuca</v>
          </cell>
        </row>
        <row r="37">
          <cell r="A37">
            <v>34</v>
          </cell>
          <cell r="B37" t="str">
            <v>1ª VT Jaboatão</v>
          </cell>
        </row>
        <row r="38">
          <cell r="A38">
            <v>35</v>
          </cell>
          <cell r="B38" t="str">
            <v>2ª VT Jaboatão</v>
          </cell>
        </row>
        <row r="39">
          <cell r="A39">
            <v>36</v>
          </cell>
          <cell r="B39" t="str">
            <v>3ª VT Jaboatão</v>
          </cell>
        </row>
        <row r="40">
          <cell r="A40">
            <v>37</v>
          </cell>
          <cell r="B40" t="str">
            <v>4ª VT Jaboatão</v>
          </cell>
        </row>
        <row r="41">
          <cell r="A41">
            <v>38</v>
          </cell>
          <cell r="B41" t="str">
            <v>1ª VT Olinda</v>
          </cell>
        </row>
        <row r="42">
          <cell r="A42">
            <v>39</v>
          </cell>
          <cell r="B42" t="str">
            <v>2ª VT Olinda</v>
          </cell>
        </row>
        <row r="43">
          <cell r="A43">
            <v>40</v>
          </cell>
          <cell r="B43" t="str">
            <v>3ª VT Olinda</v>
          </cell>
        </row>
        <row r="44">
          <cell r="A44">
            <v>41</v>
          </cell>
          <cell r="B44" t="str">
            <v>1ª VT Paulista</v>
          </cell>
        </row>
        <row r="45">
          <cell r="A45">
            <v>42</v>
          </cell>
          <cell r="B45" t="str">
            <v>2ª VT Paulista</v>
          </cell>
        </row>
        <row r="46">
          <cell r="A46">
            <v>43</v>
          </cell>
          <cell r="B46" t="str">
            <v>1ª VT Petrolina</v>
          </cell>
        </row>
        <row r="47">
          <cell r="A47">
            <v>44</v>
          </cell>
          <cell r="B47" t="str">
            <v>2ª VT Petrolina</v>
          </cell>
        </row>
        <row r="48">
          <cell r="A48">
            <v>45</v>
          </cell>
          <cell r="B48" t="str">
            <v>VT Araripina</v>
          </cell>
        </row>
        <row r="49">
          <cell r="A49">
            <v>46</v>
          </cell>
          <cell r="B49" t="str">
            <v>VT Belo Jardim</v>
          </cell>
        </row>
        <row r="50">
          <cell r="A50">
            <v>47</v>
          </cell>
          <cell r="B50" t="str">
            <v>VT Carpina</v>
          </cell>
        </row>
        <row r="51">
          <cell r="A51">
            <v>48</v>
          </cell>
          <cell r="B51" t="str">
            <v>VT Catende</v>
          </cell>
        </row>
        <row r="52">
          <cell r="A52">
            <v>49</v>
          </cell>
          <cell r="B52" t="str">
            <v>VT Escada</v>
          </cell>
        </row>
        <row r="53">
          <cell r="A53">
            <v>50</v>
          </cell>
          <cell r="B53" t="str">
            <v>VT Garanhuns</v>
          </cell>
        </row>
        <row r="54">
          <cell r="A54">
            <v>51</v>
          </cell>
          <cell r="B54" t="str">
            <v>VT Goiana</v>
          </cell>
        </row>
        <row r="55">
          <cell r="A55">
            <v>52</v>
          </cell>
          <cell r="B55" t="str">
            <v>VT Limoeiro</v>
          </cell>
        </row>
        <row r="56">
          <cell r="A56">
            <v>53</v>
          </cell>
          <cell r="B56" t="str">
            <v>VT Nazaré</v>
          </cell>
        </row>
        <row r="57">
          <cell r="A57">
            <v>54</v>
          </cell>
          <cell r="B57" t="str">
            <v>VT Palmares</v>
          </cell>
        </row>
        <row r="58">
          <cell r="A58">
            <v>55</v>
          </cell>
          <cell r="B58" t="str">
            <v>VT Pesqueira</v>
          </cell>
        </row>
        <row r="59">
          <cell r="A59">
            <v>56</v>
          </cell>
          <cell r="B59" t="str">
            <v>VT Ribeirão</v>
          </cell>
        </row>
        <row r="60">
          <cell r="A60">
            <v>57</v>
          </cell>
          <cell r="B60" t="str">
            <v>VT S. Lourenço </v>
          </cell>
        </row>
        <row r="61">
          <cell r="A61">
            <v>58</v>
          </cell>
          <cell r="B61" t="str">
            <v>VT S.Talhada</v>
          </cell>
        </row>
        <row r="62">
          <cell r="A62">
            <v>59</v>
          </cell>
          <cell r="B62" t="str">
            <v>VT Salgueiro</v>
          </cell>
        </row>
        <row r="63">
          <cell r="A63">
            <v>60</v>
          </cell>
          <cell r="B63" t="str">
            <v>VT Timbaúba</v>
          </cell>
        </row>
        <row r="64">
          <cell r="A64">
            <v>61</v>
          </cell>
          <cell r="B64" t="str">
            <v>VT Vitória</v>
          </cell>
        </row>
        <row r="65">
          <cell r="A65">
            <v>62</v>
          </cell>
          <cell r="B65" t="str">
            <v>PAJT Floresta</v>
          </cell>
        </row>
        <row r="66">
          <cell r="A66">
            <v>63</v>
          </cell>
          <cell r="B66" t="str">
            <v>PAJT Sertânia</v>
          </cell>
        </row>
        <row r="67">
          <cell r="A67">
            <v>64</v>
          </cell>
          <cell r="B67" t="str">
            <v>PAJT Surubim</v>
          </cell>
        </row>
        <row r="68">
          <cell r="A68">
            <v>65</v>
          </cell>
          <cell r="B68" t="str">
            <v>3ª VT Ipojuca</v>
          </cell>
        </row>
        <row r="69">
          <cell r="A69">
            <v>66</v>
          </cell>
          <cell r="B69" t="str">
            <v>5ª VT Jaboatão</v>
          </cell>
        </row>
        <row r="70">
          <cell r="A70">
            <v>67</v>
          </cell>
        </row>
        <row r="71">
          <cell r="A71">
            <v>68</v>
          </cell>
        </row>
        <row r="72">
          <cell r="A72">
            <v>69</v>
          </cell>
        </row>
        <row r="73">
          <cell r="A73">
            <v>70</v>
          </cell>
        </row>
        <row r="74">
          <cell r="A74">
            <v>71</v>
          </cell>
        </row>
        <row r="75">
          <cell r="A75">
            <v>72</v>
          </cell>
        </row>
        <row r="76">
          <cell r="A76">
            <v>73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554"/>
  <sheetViews>
    <sheetView tabSelected="1" zoomScale="90" zoomScaleNormal="9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464" sqref="A464"/>
      <selection pane="bottomRight" activeCell="B372" sqref="B372:B380"/>
    </sheetView>
  </sheetViews>
  <sheetFormatPr defaultColWidth="9.140625" defaultRowHeight="12.75" customHeight="1"/>
  <cols>
    <col min="1" max="1" width="6.140625" style="1" customWidth="1"/>
    <col min="2" max="2" width="18.57421875" style="2" customWidth="1"/>
    <col min="3" max="3" width="13.8515625" style="3" customWidth="1"/>
    <col min="4" max="4" width="5.00390625" style="1" customWidth="1"/>
    <col min="5" max="5" width="16.28125" style="4" customWidth="1"/>
    <col min="6" max="6" width="5.8515625" style="1" customWidth="1"/>
    <col min="7" max="7" width="6.7109375" style="1" customWidth="1"/>
    <col min="8" max="8" width="6.8515625" style="1" customWidth="1"/>
    <col min="9" max="9" width="6.57421875" style="1" customWidth="1"/>
    <col min="10" max="10" width="8.140625" style="1" customWidth="1"/>
    <col min="11" max="11" width="7.8515625" style="1" customWidth="1"/>
    <col min="12" max="12" width="5.421875" style="1" customWidth="1"/>
    <col min="13" max="13" width="6.140625" style="1" customWidth="1"/>
    <col min="14" max="14" width="6.28125" style="1" customWidth="1"/>
    <col min="15" max="15" width="9.140625" style="1" customWidth="1"/>
    <col min="16" max="16" width="6.7109375" style="1" customWidth="1"/>
    <col min="17" max="17" width="7.421875" style="5" customWidth="1"/>
    <col min="18" max="18" width="7.00390625" style="5" customWidth="1"/>
    <col min="19" max="19" width="10.7109375" style="1" customWidth="1"/>
    <col min="20" max="20" width="7.8515625" style="1" customWidth="1"/>
    <col min="21" max="21" width="7.140625" style="1" customWidth="1"/>
    <col min="22" max="22" width="8.421875" style="1" customWidth="1"/>
    <col min="23" max="23" width="11.00390625" style="6" customWidth="1"/>
    <col min="24" max="28" width="9.57421875" style="2" customWidth="1"/>
    <col min="29" max="29" width="15.57421875" style="2" customWidth="1"/>
    <col min="30" max="16384" width="9.57421875" style="2" customWidth="1"/>
  </cols>
  <sheetData>
    <row r="1" spans="2:41" s="7" customFormat="1" ht="12.75" customHeight="1">
      <c r="B1" s="120" t="s">
        <v>193</v>
      </c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</row>
    <row r="2" spans="2:23" ht="12.75" customHeight="1">
      <c r="B2" s="121" t="s">
        <v>0</v>
      </c>
      <c r="C2" s="122" t="s">
        <v>1</v>
      </c>
      <c r="D2" s="123" t="s">
        <v>2</v>
      </c>
      <c r="E2" s="123"/>
      <c r="F2" s="124" t="s">
        <v>3</v>
      </c>
      <c r="G2" s="124"/>
      <c r="H2" s="124"/>
      <c r="I2" s="124"/>
      <c r="J2" s="116" t="s">
        <v>4</v>
      </c>
      <c r="K2" s="116"/>
      <c r="L2" s="116"/>
      <c r="M2" s="116"/>
      <c r="N2" s="116"/>
      <c r="O2" s="116"/>
      <c r="P2" s="116"/>
      <c r="Q2" s="125" t="s">
        <v>5</v>
      </c>
      <c r="R2" s="125"/>
      <c r="S2" s="126" t="s">
        <v>6</v>
      </c>
      <c r="T2" s="126" t="s">
        <v>7</v>
      </c>
      <c r="U2" s="126" t="s">
        <v>8</v>
      </c>
      <c r="V2" s="116" t="s">
        <v>9</v>
      </c>
      <c r="W2" s="116"/>
    </row>
    <row r="3" spans="2:23" ht="33.75" customHeight="1">
      <c r="B3" s="121"/>
      <c r="C3" s="122"/>
      <c r="D3" s="123"/>
      <c r="E3" s="123"/>
      <c r="F3" s="117" t="s">
        <v>10</v>
      </c>
      <c r="G3" s="118" t="s">
        <v>11</v>
      </c>
      <c r="H3" s="118"/>
      <c r="I3" s="119" t="s">
        <v>12</v>
      </c>
      <c r="J3" s="116"/>
      <c r="K3" s="116"/>
      <c r="L3" s="116"/>
      <c r="M3" s="116"/>
      <c r="N3" s="116"/>
      <c r="O3" s="116"/>
      <c r="P3" s="116"/>
      <c r="Q3" s="125"/>
      <c r="R3" s="125"/>
      <c r="S3" s="126"/>
      <c r="T3" s="126"/>
      <c r="U3" s="126"/>
      <c r="V3" s="116"/>
      <c r="W3" s="116"/>
    </row>
    <row r="4" spans="2:23" ht="34.5" customHeight="1">
      <c r="B4" s="10" t="s">
        <v>13</v>
      </c>
      <c r="C4" s="122"/>
      <c r="D4" s="123"/>
      <c r="E4" s="123"/>
      <c r="F4" s="117"/>
      <c r="G4" s="11" t="s">
        <v>14</v>
      </c>
      <c r="H4" s="11" t="s">
        <v>15</v>
      </c>
      <c r="I4" s="119"/>
      <c r="J4" s="9" t="s">
        <v>16</v>
      </c>
      <c r="K4" s="9" t="s">
        <v>17</v>
      </c>
      <c r="L4" s="9" t="s">
        <v>18</v>
      </c>
      <c r="M4" s="9" t="s">
        <v>19</v>
      </c>
      <c r="N4" s="9" t="s">
        <v>20</v>
      </c>
      <c r="O4" s="9" t="s">
        <v>21</v>
      </c>
      <c r="P4" s="9" t="s">
        <v>12</v>
      </c>
      <c r="Q4" s="12" t="s">
        <v>14</v>
      </c>
      <c r="R4" s="12" t="s">
        <v>15</v>
      </c>
      <c r="S4" s="126"/>
      <c r="T4" s="126"/>
      <c r="U4" s="126"/>
      <c r="V4" s="13" t="s">
        <v>22</v>
      </c>
      <c r="W4" s="9" t="s">
        <v>23</v>
      </c>
    </row>
    <row r="5" spans="2:23" ht="22.5" customHeight="1">
      <c r="B5" s="108" t="s">
        <v>194</v>
      </c>
      <c r="C5" s="91" t="s">
        <v>2</v>
      </c>
      <c r="D5" s="106"/>
      <c r="E5" s="93" t="s">
        <v>27</v>
      </c>
      <c r="F5" s="94"/>
      <c r="G5" s="94"/>
      <c r="H5" s="94"/>
      <c r="I5" s="95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6"/>
      <c r="W5" s="96"/>
    </row>
    <row r="6" spans="1:23" ht="21" customHeight="1">
      <c r="A6" s="1">
        <v>62</v>
      </c>
      <c r="B6" s="108"/>
      <c r="C6" s="97" t="str">
        <f>IF(A6="","VARA",VLOOKUP(A6,'[1]varas'!$A$4:$B$67,2))</f>
        <v>PAJT Floresta</v>
      </c>
      <c r="D6" s="106"/>
      <c r="E6" s="93"/>
      <c r="F6" s="94">
        <f>36+22</f>
        <v>58</v>
      </c>
      <c r="G6" s="94">
        <v>0</v>
      </c>
      <c r="H6" s="94">
        <v>0</v>
      </c>
      <c r="I6" s="95">
        <f>SUM(F6:H6)</f>
        <v>58</v>
      </c>
      <c r="J6" s="94">
        <v>12</v>
      </c>
      <c r="K6" s="94">
        <v>14</v>
      </c>
      <c r="L6" s="94">
        <v>2</v>
      </c>
      <c r="M6" s="94">
        <v>0</v>
      </c>
      <c r="N6" s="94">
        <v>2</v>
      </c>
      <c r="O6" s="94">
        <v>18</v>
      </c>
      <c r="P6" s="94">
        <f>SUM(J6:O6)</f>
        <v>48</v>
      </c>
      <c r="Q6" s="94">
        <v>10</v>
      </c>
      <c r="R6" s="94">
        <v>0</v>
      </c>
      <c r="S6" s="94">
        <v>0</v>
      </c>
      <c r="T6" s="94">
        <v>0</v>
      </c>
      <c r="U6" s="94">
        <v>111</v>
      </c>
      <c r="V6" s="96"/>
      <c r="W6" s="96"/>
    </row>
    <row r="7" spans="1:23" ht="20.25" customHeight="1">
      <c r="A7" s="1">
        <v>59</v>
      </c>
      <c r="B7" s="108"/>
      <c r="C7" s="97" t="str">
        <f>IF(A7="","VARA",VLOOKUP(A7,'[1]varas'!$A$4:$B$67,2))</f>
        <v>VT Salgueiro</v>
      </c>
      <c r="D7" s="106"/>
      <c r="E7" s="93"/>
      <c r="F7" s="94">
        <v>53</v>
      </c>
      <c r="G7" s="94">
        <v>31</v>
      </c>
      <c r="H7" s="94">
        <v>0</v>
      </c>
      <c r="I7" s="95">
        <f>SUM(F7:H7)</f>
        <v>84</v>
      </c>
      <c r="J7" s="94">
        <v>51</v>
      </c>
      <c r="K7" s="94">
        <v>23</v>
      </c>
      <c r="L7" s="94">
        <v>1</v>
      </c>
      <c r="M7" s="94">
        <v>1</v>
      </c>
      <c r="N7" s="94">
        <v>1</v>
      </c>
      <c r="O7" s="94">
        <v>4</v>
      </c>
      <c r="P7" s="94">
        <f>SUM(J7:O7)</f>
        <v>81</v>
      </c>
      <c r="Q7" s="94">
        <v>3</v>
      </c>
      <c r="R7" s="94">
        <v>0</v>
      </c>
      <c r="S7" s="94">
        <v>0</v>
      </c>
      <c r="T7" s="94">
        <v>0</v>
      </c>
      <c r="U7" s="94">
        <v>122</v>
      </c>
      <c r="V7" s="96"/>
      <c r="W7" s="96"/>
    </row>
    <row r="8" spans="2:23" ht="19.5" customHeight="1">
      <c r="B8" s="108"/>
      <c r="C8" s="98" t="s">
        <v>12</v>
      </c>
      <c r="D8" s="99"/>
      <c r="E8" s="100"/>
      <c r="F8" s="101">
        <f>SUM(F5:F7)</f>
        <v>111</v>
      </c>
      <c r="G8" s="101">
        <f>SUM(G5:G7)</f>
        <v>31</v>
      </c>
      <c r="H8" s="101">
        <f>SUM(H5:H7)</f>
        <v>0</v>
      </c>
      <c r="I8" s="102">
        <f>SUM(F8:H8)</f>
        <v>142</v>
      </c>
      <c r="J8" s="101">
        <f aca="true" t="shared" si="0" ref="J8:O8">SUM(J5:J7)</f>
        <v>63</v>
      </c>
      <c r="K8" s="101">
        <f t="shared" si="0"/>
        <v>37</v>
      </c>
      <c r="L8" s="101">
        <f t="shared" si="0"/>
        <v>3</v>
      </c>
      <c r="M8" s="101">
        <f t="shared" si="0"/>
        <v>1</v>
      </c>
      <c r="N8" s="101">
        <f t="shared" si="0"/>
        <v>3</v>
      </c>
      <c r="O8" s="101">
        <f t="shared" si="0"/>
        <v>22</v>
      </c>
      <c r="P8" s="101">
        <f>SUM(J8:O8)</f>
        <v>129</v>
      </c>
      <c r="Q8" s="101">
        <f>SUM(Q5:Q7)</f>
        <v>13</v>
      </c>
      <c r="R8" s="101">
        <f>SUM(R5:R7)</f>
        <v>0</v>
      </c>
      <c r="S8" s="101">
        <f>SUM(S5:S7)</f>
        <v>0</v>
      </c>
      <c r="T8" s="101">
        <f>SUM(T5:T7)</f>
        <v>0</v>
      </c>
      <c r="U8" s="101">
        <f>SUM(U5:U7)</f>
        <v>233</v>
      </c>
      <c r="V8" s="103">
        <f>IF(I8-Q8=0,"",IF(D8="",(P8+S8)/(I8-Q8),IF(AND(D8&lt;&gt;"",(P8+S8)/(I8-Q8)&gt;=50%),(P8+S8)/(I8-Q8),"")))</f>
        <v>1</v>
      </c>
      <c r="W8" s="103">
        <f>IF(I8=O8,"",IF(V8="",0,(P8+Q8+S8-O8)/(I8-O8)))</f>
        <v>1</v>
      </c>
    </row>
    <row r="9" spans="2:28" ht="18" customHeight="1">
      <c r="B9" s="115" t="s">
        <v>24</v>
      </c>
      <c r="C9" s="14" t="s">
        <v>2</v>
      </c>
      <c r="D9" s="15" t="s">
        <v>30</v>
      </c>
      <c r="E9" s="16" t="s">
        <v>184</v>
      </c>
      <c r="F9" s="15"/>
      <c r="G9" s="15"/>
      <c r="H9" s="15"/>
      <c r="I9" s="17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8"/>
      <c r="W9" s="18"/>
      <c r="AB9" s="19"/>
    </row>
    <row r="10" spans="1:28" ht="16.5" customHeight="1">
      <c r="A10" s="1">
        <v>34</v>
      </c>
      <c r="B10" s="115"/>
      <c r="C10" s="20" t="str">
        <f>IF(A10="","VARA",VLOOKUP(A10,'[1]varas'!$A$4:$B$67,2))</f>
        <v>1ª VT Jaboatão</v>
      </c>
      <c r="D10" s="15"/>
      <c r="E10" s="16"/>
      <c r="F10" s="15">
        <f>16+9+1</f>
        <v>26</v>
      </c>
      <c r="G10" s="15">
        <v>0</v>
      </c>
      <c r="H10" s="15">
        <v>0</v>
      </c>
      <c r="I10" s="17">
        <f>SUM(F10:H10)</f>
        <v>26</v>
      </c>
      <c r="J10" s="15">
        <v>11</v>
      </c>
      <c r="K10" s="15">
        <v>3</v>
      </c>
      <c r="L10" s="15">
        <v>1</v>
      </c>
      <c r="M10" s="15">
        <v>0</v>
      </c>
      <c r="N10" s="15">
        <v>1</v>
      </c>
      <c r="O10" s="15">
        <v>8</v>
      </c>
      <c r="P10" s="15">
        <f>SUM(J10:O10)</f>
        <v>24</v>
      </c>
      <c r="Q10" s="15">
        <v>2</v>
      </c>
      <c r="R10" s="15">
        <v>0</v>
      </c>
      <c r="S10" s="15">
        <v>0</v>
      </c>
      <c r="T10" s="15">
        <v>0</v>
      </c>
      <c r="U10" s="15">
        <v>37</v>
      </c>
      <c r="V10" s="18"/>
      <c r="W10" s="18"/>
      <c r="AB10" s="19"/>
    </row>
    <row r="11" spans="1:29" s="27" customFormat="1" ht="18" customHeight="1">
      <c r="A11" s="1"/>
      <c r="B11" s="115"/>
      <c r="C11" s="21" t="s">
        <v>12</v>
      </c>
      <c r="D11" s="22"/>
      <c r="E11" s="23"/>
      <c r="F11" s="24">
        <f>SUM(F9:F10)</f>
        <v>26</v>
      </c>
      <c r="G11" s="24">
        <f>SUM(G9:G10)</f>
        <v>0</v>
      </c>
      <c r="H11" s="24">
        <f>SUM(H9:H10)</f>
        <v>0</v>
      </c>
      <c r="I11" s="25">
        <f>SUM(F11:H11)</f>
        <v>26</v>
      </c>
      <c r="J11" s="24">
        <f aca="true" t="shared" si="1" ref="J11:O11">SUM(J9:J10)</f>
        <v>11</v>
      </c>
      <c r="K11" s="24">
        <f t="shared" si="1"/>
        <v>3</v>
      </c>
      <c r="L11" s="24">
        <f t="shared" si="1"/>
        <v>1</v>
      </c>
      <c r="M11" s="24">
        <f t="shared" si="1"/>
        <v>0</v>
      </c>
      <c r="N11" s="24">
        <f t="shared" si="1"/>
        <v>1</v>
      </c>
      <c r="O11" s="24">
        <f t="shared" si="1"/>
        <v>8</v>
      </c>
      <c r="P11" s="24">
        <f>SUM(J11:O11)</f>
        <v>24</v>
      </c>
      <c r="Q11" s="24">
        <f>SUM(Q9:Q10)</f>
        <v>2</v>
      </c>
      <c r="R11" s="24">
        <f>SUM(R9:R10)</f>
        <v>0</v>
      </c>
      <c r="S11" s="24">
        <f>SUM(S9:S10)</f>
        <v>0</v>
      </c>
      <c r="T11" s="24">
        <f>SUM(T9:T10)</f>
        <v>0</v>
      </c>
      <c r="U11" s="24">
        <f>SUM(U9:U10)</f>
        <v>37</v>
      </c>
      <c r="V11" s="26">
        <f>IF(I11-Q11=0,"",IF(D11="",(P11+S11)/(I11-Q11),IF(AND(D11&lt;&gt;"",(P11+S11)/(I11-Q11)&gt;=50%),(P11+S11)/(I11-Q11),"")))</f>
        <v>1</v>
      </c>
      <c r="W11" s="26">
        <f>IF(I11=O11,"",IF(V11="",0,(P11+Q11+S11-O11)/(I11-O11)))</f>
        <v>1</v>
      </c>
      <c r="AC11" s="28"/>
    </row>
    <row r="12" spans="1:29" s="30" customFormat="1" ht="20.25" customHeight="1">
      <c r="A12" s="1"/>
      <c r="B12" s="113" t="s">
        <v>25</v>
      </c>
      <c r="C12" s="14" t="s">
        <v>186</v>
      </c>
      <c r="D12" s="29" t="s">
        <v>30</v>
      </c>
      <c r="E12" s="16" t="s">
        <v>201</v>
      </c>
      <c r="F12" s="15"/>
      <c r="G12" s="15"/>
      <c r="H12" s="15"/>
      <c r="I12" s="17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8"/>
      <c r="W12" s="18"/>
      <c r="AC12" s="31"/>
    </row>
    <row r="13" spans="1:29" s="30" customFormat="1" ht="16.5" customHeight="1">
      <c r="A13" s="1">
        <v>2</v>
      </c>
      <c r="B13" s="113"/>
      <c r="C13" s="20" t="str">
        <f>IF(A13="","VARA",VLOOKUP(A13,'[1]varas'!$A$4:$B$67,2))</f>
        <v>2ª VT Recife</v>
      </c>
      <c r="D13" s="29"/>
      <c r="E13" s="16"/>
      <c r="F13" s="15">
        <v>0</v>
      </c>
      <c r="G13" s="15">
        <v>15</v>
      </c>
      <c r="H13" s="15">
        <v>0</v>
      </c>
      <c r="I13" s="17">
        <f>SUM(F13:H13)</f>
        <v>15</v>
      </c>
      <c r="J13" s="15">
        <v>15</v>
      </c>
      <c r="K13" s="15">
        <v>0</v>
      </c>
      <c r="L13" s="15">
        <v>0</v>
      </c>
      <c r="M13" s="15">
        <v>0</v>
      </c>
      <c r="N13" s="15">
        <v>0</v>
      </c>
      <c r="O13" s="15">
        <v>0</v>
      </c>
      <c r="P13" s="15">
        <f>SUM(J13:O13)</f>
        <v>15</v>
      </c>
      <c r="Q13" s="15">
        <v>0</v>
      </c>
      <c r="R13" s="15">
        <v>0</v>
      </c>
      <c r="S13" s="15">
        <v>0</v>
      </c>
      <c r="T13" s="15">
        <v>0</v>
      </c>
      <c r="U13" s="15">
        <v>0</v>
      </c>
      <c r="V13" s="18"/>
      <c r="W13" s="18"/>
      <c r="AC13" s="31"/>
    </row>
    <row r="14" spans="1:28" s="30" customFormat="1" ht="17.25" customHeight="1">
      <c r="A14" s="32"/>
      <c r="B14" s="113"/>
      <c r="C14" s="21" t="s">
        <v>12</v>
      </c>
      <c r="D14" s="33"/>
      <c r="E14" s="23"/>
      <c r="F14" s="24">
        <f>SUM(F12:F13)</f>
        <v>0</v>
      </c>
      <c r="G14" s="24">
        <f>SUM(G12:G13)</f>
        <v>15</v>
      </c>
      <c r="H14" s="24">
        <f>SUM(H12:H13)</f>
        <v>0</v>
      </c>
      <c r="I14" s="25">
        <f>SUM(F14:H14)</f>
        <v>15</v>
      </c>
      <c r="J14" s="24">
        <f aca="true" t="shared" si="2" ref="J14:O14">SUM(J12:J13)</f>
        <v>15</v>
      </c>
      <c r="K14" s="24">
        <f t="shared" si="2"/>
        <v>0</v>
      </c>
      <c r="L14" s="24">
        <f t="shared" si="2"/>
        <v>0</v>
      </c>
      <c r="M14" s="24">
        <f t="shared" si="2"/>
        <v>0</v>
      </c>
      <c r="N14" s="24">
        <f t="shared" si="2"/>
        <v>0</v>
      </c>
      <c r="O14" s="24">
        <f t="shared" si="2"/>
        <v>0</v>
      </c>
      <c r="P14" s="24">
        <f>SUM(J14:O14)</f>
        <v>15</v>
      </c>
      <c r="Q14" s="24">
        <f>SUM(Q12:Q13)</f>
        <v>0</v>
      </c>
      <c r="R14" s="24">
        <f>SUM(R12:R13)</f>
        <v>0</v>
      </c>
      <c r="S14" s="24">
        <f>SUM(S12:S13)</f>
        <v>0</v>
      </c>
      <c r="T14" s="24">
        <f>SUM(T12:T13)</f>
        <v>0</v>
      </c>
      <c r="U14" s="24">
        <f>SUM(U12:U13)</f>
        <v>0</v>
      </c>
      <c r="V14" s="26">
        <f>IF(I14-Q14=0,"",IF(D14="",(P14+S14)/(I14-Q14),IF(AND(D14&lt;&gt;"",(P14+S14)/(I14-Q14)&gt;=50%),(P14+S14)/(I14-Q14),"")))</f>
        <v>1</v>
      </c>
      <c r="W14" s="26">
        <f>IF(I14=O14,"",IF(V14="",0,(P14+Q14+S14-O14)/(I14-O14)))</f>
        <v>1</v>
      </c>
      <c r="AB14" s="34"/>
    </row>
    <row r="15" spans="1:28" s="30" customFormat="1" ht="21.75" customHeight="1">
      <c r="A15" s="32"/>
      <c r="B15" s="113" t="s">
        <v>26</v>
      </c>
      <c r="C15" s="14" t="s">
        <v>2</v>
      </c>
      <c r="D15" s="15"/>
      <c r="E15" s="16" t="s">
        <v>27</v>
      </c>
      <c r="F15" s="15"/>
      <c r="G15" s="15"/>
      <c r="H15" s="15"/>
      <c r="I15" s="17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8"/>
      <c r="W15" s="18"/>
      <c r="AB15" s="34"/>
    </row>
    <row r="16" spans="1:28" s="30" customFormat="1" ht="20.25" customHeight="1">
      <c r="A16" s="32">
        <v>20</v>
      </c>
      <c r="B16" s="113"/>
      <c r="C16" s="20" t="str">
        <f>IF(A16="","VARA",VLOOKUP(A16,'[1]varas'!$A$4:$B$67,2))</f>
        <v>20ª VT Recife</v>
      </c>
      <c r="D16" s="15"/>
      <c r="E16" s="16"/>
      <c r="F16" s="15">
        <f>55+44+16</f>
        <v>115</v>
      </c>
      <c r="G16" s="15">
        <v>0</v>
      </c>
      <c r="H16" s="15">
        <v>0</v>
      </c>
      <c r="I16" s="17">
        <f>SUM(F16:H16)</f>
        <v>115</v>
      </c>
      <c r="J16" s="15">
        <v>39</v>
      </c>
      <c r="K16" s="15">
        <v>14</v>
      </c>
      <c r="L16" s="15">
        <v>15</v>
      </c>
      <c r="M16" s="15">
        <v>1</v>
      </c>
      <c r="N16" s="15">
        <v>0</v>
      </c>
      <c r="O16" s="15">
        <v>44</v>
      </c>
      <c r="P16" s="15">
        <f aca="true" t="shared" si="3" ref="P16:P66">SUM(J16:O16)</f>
        <v>113</v>
      </c>
      <c r="Q16" s="15">
        <v>2</v>
      </c>
      <c r="R16" s="15">
        <v>0</v>
      </c>
      <c r="S16" s="15">
        <v>0</v>
      </c>
      <c r="T16" s="15">
        <v>0</v>
      </c>
      <c r="U16" s="15">
        <v>205</v>
      </c>
      <c r="V16" s="18"/>
      <c r="W16" s="18"/>
      <c r="AB16" s="34"/>
    </row>
    <row r="17" spans="1:28" s="30" customFormat="1" ht="15.75" customHeight="1">
      <c r="A17" s="32"/>
      <c r="B17" s="113"/>
      <c r="C17" s="21" t="s">
        <v>12</v>
      </c>
      <c r="D17" s="33"/>
      <c r="E17" s="23"/>
      <c r="F17" s="24">
        <f>SUM(F15:F16)</f>
        <v>115</v>
      </c>
      <c r="G17" s="24">
        <f>SUM(G15:G16)</f>
        <v>0</v>
      </c>
      <c r="H17" s="24">
        <f>SUM(H15:H16)</f>
        <v>0</v>
      </c>
      <c r="I17" s="25">
        <f>SUM(F17:H17)</f>
        <v>115</v>
      </c>
      <c r="J17" s="24">
        <f aca="true" t="shared" si="4" ref="J17:O17">SUM(J15:J16)</f>
        <v>39</v>
      </c>
      <c r="K17" s="24">
        <f t="shared" si="4"/>
        <v>14</v>
      </c>
      <c r="L17" s="24">
        <f t="shared" si="4"/>
        <v>15</v>
      </c>
      <c r="M17" s="24">
        <f t="shared" si="4"/>
        <v>1</v>
      </c>
      <c r="N17" s="24">
        <f t="shared" si="4"/>
        <v>0</v>
      </c>
      <c r="O17" s="24">
        <f t="shared" si="4"/>
        <v>44</v>
      </c>
      <c r="P17" s="24">
        <f t="shared" si="3"/>
        <v>113</v>
      </c>
      <c r="Q17" s="24">
        <f>SUM(Q15:Q16)</f>
        <v>2</v>
      </c>
      <c r="R17" s="24">
        <f>SUM(R15:R16)</f>
        <v>0</v>
      </c>
      <c r="S17" s="24">
        <f>SUM(S15:S16)</f>
        <v>0</v>
      </c>
      <c r="T17" s="24">
        <f>SUM(T15:T16)</f>
        <v>0</v>
      </c>
      <c r="U17" s="24">
        <f>SUM(U15:U16)</f>
        <v>205</v>
      </c>
      <c r="V17" s="26">
        <f>IF(I17-Q17=0,"",IF(D17="",(P17+S17)/(I17-Q17),IF(AND(D17&lt;&gt;"",(P17+S17)/(I17-Q17)&gt;=50%),(P17+S17)/(I17-Q17),"")))</f>
        <v>1</v>
      </c>
      <c r="W17" s="26">
        <f>IF(I17=O17,"",IF(V17="",0,(P17+Q17+S17-O17)/(I17-O17)))</f>
        <v>1</v>
      </c>
      <c r="AB17" s="34"/>
    </row>
    <row r="18" spans="1:28" s="30" customFormat="1" ht="18" customHeight="1">
      <c r="A18" s="32"/>
      <c r="B18" s="113" t="s">
        <v>28</v>
      </c>
      <c r="C18" s="14" t="s">
        <v>2</v>
      </c>
      <c r="D18" s="29"/>
      <c r="E18" s="16" t="s">
        <v>27</v>
      </c>
      <c r="F18" s="15"/>
      <c r="G18" s="15"/>
      <c r="H18" s="15"/>
      <c r="I18" s="17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8"/>
      <c r="W18" s="18"/>
      <c r="AB18" s="34"/>
    </row>
    <row r="19" spans="1:28" s="30" customFormat="1" ht="17.25" customHeight="1">
      <c r="A19" s="32">
        <v>3</v>
      </c>
      <c r="B19" s="113"/>
      <c r="C19" s="20" t="str">
        <f>IF(A19="","VARA",VLOOKUP(A19,'[1]varas'!$A$4:$B$67,2))</f>
        <v>3ª VT Recife</v>
      </c>
      <c r="D19" s="29"/>
      <c r="E19" s="16"/>
      <c r="F19" s="15">
        <f>47+46+11+3</f>
        <v>107</v>
      </c>
      <c r="G19" s="15">
        <v>10</v>
      </c>
      <c r="H19" s="15">
        <v>0</v>
      </c>
      <c r="I19" s="17">
        <f>SUM(F19:H19)</f>
        <v>117</v>
      </c>
      <c r="J19" s="15">
        <v>39</v>
      </c>
      <c r="K19" s="15">
        <v>16</v>
      </c>
      <c r="L19" s="15">
        <v>11</v>
      </c>
      <c r="M19" s="15">
        <v>3</v>
      </c>
      <c r="N19" s="15">
        <v>0</v>
      </c>
      <c r="O19" s="15">
        <v>46</v>
      </c>
      <c r="P19" s="15">
        <f t="shared" si="3"/>
        <v>115</v>
      </c>
      <c r="Q19" s="15">
        <v>1</v>
      </c>
      <c r="R19" s="15">
        <v>1</v>
      </c>
      <c r="S19" s="15">
        <v>0</v>
      </c>
      <c r="T19" s="15">
        <v>0</v>
      </c>
      <c r="U19" s="15">
        <v>194</v>
      </c>
      <c r="V19" s="18"/>
      <c r="W19" s="18"/>
      <c r="AB19" s="34"/>
    </row>
    <row r="20" spans="1:28" s="37" customFormat="1" ht="15.75" customHeight="1">
      <c r="A20" s="35"/>
      <c r="B20" s="113"/>
      <c r="C20" s="21" t="s">
        <v>12</v>
      </c>
      <c r="D20" s="33"/>
      <c r="E20" s="23"/>
      <c r="F20" s="24">
        <f>SUM(F18:F19)</f>
        <v>107</v>
      </c>
      <c r="G20" s="24">
        <f>SUM(G18:G19)</f>
        <v>10</v>
      </c>
      <c r="H20" s="24">
        <f>SUM(H18:H19)</f>
        <v>0</v>
      </c>
      <c r="I20" s="25">
        <f>SUM(F20:H20)</f>
        <v>117</v>
      </c>
      <c r="J20" s="24">
        <f aca="true" t="shared" si="5" ref="J20:O20">SUM(J18:J19)</f>
        <v>39</v>
      </c>
      <c r="K20" s="24">
        <f t="shared" si="5"/>
        <v>16</v>
      </c>
      <c r="L20" s="24">
        <f t="shared" si="5"/>
        <v>11</v>
      </c>
      <c r="M20" s="24">
        <f t="shared" si="5"/>
        <v>3</v>
      </c>
      <c r="N20" s="24">
        <f t="shared" si="5"/>
        <v>0</v>
      </c>
      <c r="O20" s="24">
        <f t="shared" si="5"/>
        <v>46</v>
      </c>
      <c r="P20" s="24">
        <f t="shared" si="3"/>
        <v>115</v>
      </c>
      <c r="Q20" s="24">
        <f>SUM(Q18:Q19)</f>
        <v>1</v>
      </c>
      <c r="R20" s="24">
        <f>SUM(R18:R19)</f>
        <v>1</v>
      </c>
      <c r="S20" s="24">
        <f>SUM(S18:S19)</f>
        <v>0</v>
      </c>
      <c r="T20" s="24">
        <f>SUM(T18:T19)</f>
        <v>0</v>
      </c>
      <c r="U20" s="24">
        <f>SUM(U18:U19)</f>
        <v>194</v>
      </c>
      <c r="V20" s="26">
        <f>IF(I20-Q20=0,"",IF(D20="",(P20+S20)/(I20-Q20),IF(AND(D20&lt;&gt;"",(P20+S20)/(I20-Q20)&gt;=50%),(P20+S20)/(I20-Q20),"")))</f>
        <v>0.9913793103448276</v>
      </c>
      <c r="W20" s="26">
        <f>IF(I20=O20,"",IF(V20="",0,(P20+Q20+S20-O20)/(I20-O20)))</f>
        <v>0.9859154929577465</v>
      </c>
      <c r="X20" s="36"/>
      <c r="AB20" s="38"/>
    </row>
    <row r="21" spans="1:28" s="30" customFormat="1" ht="21" customHeight="1">
      <c r="A21" s="32"/>
      <c r="B21" s="113" t="s">
        <v>29</v>
      </c>
      <c r="C21" s="14" t="s">
        <v>2</v>
      </c>
      <c r="D21" s="15" t="s">
        <v>43</v>
      </c>
      <c r="E21" s="16" t="s">
        <v>195</v>
      </c>
      <c r="F21" s="15"/>
      <c r="G21" s="15"/>
      <c r="H21" s="15"/>
      <c r="I21" s="17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8"/>
      <c r="W21" s="18"/>
      <c r="AB21" s="34"/>
    </row>
    <row r="22" spans="1:28" s="30" customFormat="1" ht="21" customHeight="1">
      <c r="A22" s="32">
        <v>19</v>
      </c>
      <c r="B22" s="113"/>
      <c r="C22" s="20" t="str">
        <f>IF(A22="","VARA",VLOOKUP(A22,'[1]varas'!$A$4:$B$67,2))</f>
        <v>19ª VT Recife</v>
      </c>
      <c r="D22" s="15"/>
      <c r="E22" s="16"/>
      <c r="F22" s="15">
        <f>45+64+20+7</f>
        <v>136</v>
      </c>
      <c r="G22" s="15">
        <v>5</v>
      </c>
      <c r="H22" s="15">
        <v>0</v>
      </c>
      <c r="I22" s="17">
        <f>SUM(F22:H22)</f>
        <v>141</v>
      </c>
      <c r="J22" s="15">
        <v>23</v>
      </c>
      <c r="K22" s="15">
        <v>17</v>
      </c>
      <c r="L22" s="15">
        <v>20</v>
      </c>
      <c r="M22" s="15">
        <v>6</v>
      </c>
      <c r="N22" s="15">
        <v>1</v>
      </c>
      <c r="O22" s="15">
        <v>64</v>
      </c>
      <c r="P22" s="15">
        <f>SUM(J22:O22)</f>
        <v>131</v>
      </c>
      <c r="Q22" s="15">
        <v>10</v>
      </c>
      <c r="R22" s="15">
        <v>0</v>
      </c>
      <c r="S22" s="15">
        <v>0</v>
      </c>
      <c r="T22" s="15">
        <v>0</v>
      </c>
      <c r="U22" s="15">
        <v>200</v>
      </c>
      <c r="V22" s="18"/>
      <c r="W22" s="18"/>
      <c r="AB22" s="34"/>
    </row>
    <row r="23" spans="1:41" s="39" customFormat="1" ht="17.25" customHeight="1">
      <c r="A23" s="32"/>
      <c r="B23" s="113"/>
      <c r="C23" s="21" t="s">
        <v>12</v>
      </c>
      <c r="D23" s="33"/>
      <c r="E23" s="23"/>
      <c r="F23" s="24">
        <f>SUM(F21:F22)</f>
        <v>136</v>
      </c>
      <c r="G23" s="24">
        <f>SUM(G21:G22)</f>
        <v>5</v>
      </c>
      <c r="H23" s="24">
        <f>SUM(H21:H22)</f>
        <v>0</v>
      </c>
      <c r="I23" s="25">
        <f>SUM(F23:H23)</f>
        <v>141</v>
      </c>
      <c r="J23" s="24">
        <f aca="true" t="shared" si="6" ref="J23:O23">SUM(J21:J22)</f>
        <v>23</v>
      </c>
      <c r="K23" s="24">
        <f t="shared" si="6"/>
        <v>17</v>
      </c>
      <c r="L23" s="24">
        <f t="shared" si="6"/>
        <v>20</v>
      </c>
      <c r="M23" s="24">
        <f t="shared" si="6"/>
        <v>6</v>
      </c>
      <c r="N23" s="24">
        <f t="shared" si="6"/>
        <v>1</v>
      </c>
      <c r="O23" s="24">
        <f t="shared" si="6"/>
        <v>64</v>
      </c>
      <c r="P23" s="24">
        <f t="shared" si="3"/>
        <v>131</v>
      </c>
      <c r="Q23" s="24">
        <f>SUM(Q21:Q22)</f>
        <v>10</v>
      </c>
      <c r="R23" s="24">
        <f>SUM(R21:R22)</f>
        <v>0</v>
      </c>
      <c r="S23" s="24">
        <f>SUM(S21:S22)</f>
        <v>0</v>
      </c>
      <c r="T23" s="24">
        <f>SUM(T21:T22)</f>
        <v>0</v>
      </c>
      <c r="U23" s="24">
        <f>SUM(U21:U22)</f>
        <v>200</v>
      </c>
      <c r="V23" s="26">
        <f>IF(I23-Q23=0,"",IF(D23="",(P23+S23)/(I23-Q23),IF(AND(D23&lt;&gt;"",(P23+S23)/(I23-Q23)&gt;=50%),(P23+S23)/(I23-Q23),"")))</f>
        <v>1</v>
      </c>
      <c r="W23" s="26">
        <f>IF(I23=O23,"",IF(V23="",0,(P23+Q23+S23-O23)/(I23-O23)))</f>
        <v>1</v>
      </c>
      <c r="X23" s="30"/>
      <c r="Y23" s="30"/>
      <c r="Z23" s="30"/>
      <c r="AA23" s="30"/>
      <c r="AB23" s="34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</row>
    <row r="24" spans="1:28" s="30" customFormat="1" ht="25.5" customHeight="1">
      <c r="A24" s="32"/>
      <c r="B24" s="113" t="s">
        <v>31</v>
      </c>
      <c r="C24" s="14" t="s">
        <v>2</v>
      </c>
      <c r="D24" s="29" t="s">
        <v>43</v>
      </c>
      <c r="E24" s="16" t="s">
        <v>196</v>
      </c>
      <c r="F24" s="15"/>
      <c r="G24" s="15"/>
      <c r="H24" s="15"/>
      <c r="I24" s="17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8"/>
      <c r="W24" s="18"/>
      <c r="AB24" s="34"/>
    </row>
    <row r="25" spans="1:28" s="30" customFormat="1" ht="17.25" customHeight="1">
      <c r="A25" s="32">
        <v>61</v>
      </c>
      <c r="B25" s="113"/>
      <c r="C25" s="20" t="str">
        <f>IF(A25="","VARA",VLOOKUP(A25,'[1]varas'!$A$4:$B$67,2))</f>
        <v>VT Vitória</v>
      </c>
      <c r="D25" s="15"/>
      <c r="E25" s="17"/>
      <c r="F25" s="15">
        <f>52+32+6</f>
        <v>90</v>
      </c>
      <c r="G25" s="15">
        <v>11</v>
      </c>
      <c r="H25" s="15">
        <v>5</v>
      </c>
      <c r="I25" s="17">
        <f>SUM(F25:H25)</f>
        <v>106</v>
      </c>
      <c r="J25" s="15">
        <v>43</v>
      </c>
      <c r="K25" s="15">
        <v>7</v>
      </c>
      <c r="L25" s="15">
        <v>6</v>
      </c>
      <c r="M25" s="15">
        <v>2</v>
      </c>
      <c r="N25" s="15">
        <v>0</v>
      </c>
      <c r="O25" s="15">
        <v>32</v>
      </c>
      <c r="P25" s="15">
        <f t="shared" si="3"/>
        <v>90</v>
      </c>
      <c r="Q25" s="15">
        <v>16</v>
      </c>
      <c r="R25" s="15">
        <v>0</v>
      </c>
      <c r="S25" s="15">
        <v>0</v>
      </c>
      <c r="T25" s="15">
        <v>0</v>
      </c>
      <c r="U25" s="15">
        <v>172</v>
      </c>
      <c r="V25" s="18"/>
      <c r="W25" s="18"/>
      <c r="AB25" s="34"/>
    </row>
    <row r="26" spans="1:28" s="30" customFormat="1" ht="18.75" customHeight="1">
      <c r="A26" s="32"/>
      <c r="B26" s="113"/>
      <c r="C26" s="21" t="s">
        <v>12</v>
      </c>
      <c r="D26" s="33"/>
      <c r="E26" s="23"/>
      <c r="F26" s="24">
        <f>SUM(F24:F25)</f>
        <v>90</v>
      </c>
      <c r="G26" s="24">
        <f>SUM(G24:G25)</f>
        <v>11</v>
      </c>
      <c r="H26" s="24">
        <f>SUM(H24:H25)</f>
        <v>5</v>
      </c>
      <c r="I26" s="25">
        <f>SUM(F26:H26)</f>
        <v>106</v>
      </c>
      <c r="J26" s="24">
        <f aca="true" t="shared" si="7" ref="J26:O26">SUM(J24:J25)</f>
        <v>43</v>
      </c>
      <c r="K26" s="24">
        <f t="shared" si="7"/>
        <v>7</v>
      </c>
      <c r="L26" s="24">
        <f t="shared" si="7"/>
        <v>6</v>
      </c>
      <c r="M26" s="24">
        <f t="shared" si="7"/>
        <v>2</v>
      </c>
      <c r="N26" s="24">
        <f t="shared" si="7"/>
        <v>0</v>
      </c>
      <c r="O26" s="24">
        <f t="shared" si="7"/>
        <v>32</v>
      </c>
      <c r="P26" s="24">
        <f t="shared" si="3"/>
        <v>90</v>
      </c>
      <c r="Q26" s="24">
        <f>SUM(Q24:Q25)</f>
        <v>16</v>
      </c>
      <c r="R26" s="24">
        <f>SUM(R24:R25)</f>
        <v>0</v>
      </c>
      <c r="S26" s="24">
        <f>SUM(S24:S25)</f>
        <v>0</v>
      </c>
      <c r="T26" s="24">
        <f>SUM(T24:T25)</f>
        <v>0</v>
      </c>
      <c r="U26" s="24">
        <f>SUM(U24:U25)</f>
        <v>172</v>
      </c>
      <c r="V26" s="26">
        <f>IF(I26-Q26=0,"",IF(D26="",(P26+S26)/(I26-Q26),IF(AND(D26&lt;&gt;"",(P26+S26)/(I26-Q26)&gt;=50%),(P26+S26)/(I26-Q26),"")))</f>
        <v>1</v>
      </c>
      <c r="W26" s="26">
        <f>IF(I26=O26,"",IF(V26="",0,(P26+Q26+S26-O26)/(I26-O26)))</f>
        <v>1</v>
      </c>
      <c r="AB26" s="34"/>
    </row>
    <row r="27" spans="1:41" s="39" customFormat="1" ht="17.25" customHeight="1">
      <c r="A27" s="32"/>
      <c r="B27" s="113" t="s">
        <v>32</v>
      </c>
      <c r="C27" s="14" t="s">
        <v>2</v>
      </c>
      <c r="D27" s="29"/>
      <c r="E27" s="16" t="s">
        <v>27</v>
      </c>
      <c r="F27" s="15"/>
      <c r="G27" s="15"/>
      <c r="H27" s="15"/>
      <c r="I27" s="17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8"/>
      <c r="W27" s="18"/>
      <c r="X27" s="30"/>
      <c r="Y27" s="30"/>
      <c r="Z27" s="30"/>
      <c r="AA27" s="30"/>
      <c r="AB27" s="34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</row>
    <row r="28" spans="1:41" s="39" customFormat="1" ht="17.25" customHeight="1">
      <c r="A28" s="32">
        <v>6</v>
      </c>
      <c r="B28" s="113"/>
      <c r="C28" s="20" t="str">
        <f>IF(A28="","VARA",VLOOKUP(A28,'[1]varas'!$A$4:$B$67,2))</f>
        <v>6ª VT Recife</v>
      </c>
      <c r="D28" s="29"/>
      <c r="E28" s="16"/>
      <c r="F28" s="15">
        <v>11</v>
      </c>
      <c r="G28" s="15">
        <v>0</v>
      </c>
      <c r="H28" s="15">
        <v>0</v>
      </c>
      <c r="I28" s="17">
        <f>SUM(F28:H28)</f>
        <v>11</v>
      </c>
      <c r="J28" s="15">
        <v>4</v>
      </c>
      <c r="K28" s="15">
        <v>2</v>
      </c>
      <c r="L28" s="15">
        <v>2</v>
      </c>
      <c r="M28" s="15">
        <v>0</v>
      </c>
      <c r="N28" s="15">
        <v>0</v>
      </c>
      <c r="O28" s="15">
        <v>3</v>
      </c>
      <c r="P28" s="15">
        <f>SUM(J28:O28)</f>
        <v>11</v>
      </c>
      <c r="Q28" s="15">
        <v>0</v>
      </c>
      <c r="R28" s="15">
        <v>0</v>
      </c>
      <c r="S28" s="15">
        <v>0</v>
      </c>
      <c r="T28" s="15">
        <v>0</v>
      </c>
      <c r="U28" s="15">
        <v>25</v>
      </c>
      <c r="V28" s="18"/>
      <c r="W28" s="18"/>
      <c r="X28" s="30"/>
      <c r="Y28" s="30"/>
      <c r="Z28" s="30"/>
      <c r="AA28" s="30"/>
      <c r="AB28" s="34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</row>
    <row r="29" spans="1:41" s="39" customFormat="1" ht="17.25" customHeight="1">
      <c r="A29" s="32">
        <v>16</v>
      </c>
      <c r="B29" s="113"/>
      <c r="C29" s="20" t="str">
        <f>IF(A29="","VARA",VLOOKUP(A29,'[1]varas'!$A$4:$B$67,2))</f>
        <v>16ª VT Recife</v>
      </c>
      <c r="D29" s="29"/>
      <c r="E29" s="16"/>
      <c r="F29" s="15">
        <f>52+25+21+1</f>
        <v>99</v>
      </c>
      <c r="G29" s="15">
        <v>2</v>
      </c>
      <c r="H29" s="15">
        <v>6</v>
      </c>
      <c r="I29" s="17">
        <f>SUM(F29:H29)</f>
        <v>107</v>
      </c>
      <c r="J29" s="15">
        <v>31</v>
      </c>
      <c r="K29" s="15">
        <v>13</v>
      </c>
      <c r="L29" s="15">
        <v>21</v>
      </c>
      <c r="M29" s="15">
        <v>1</v>
      </c>
      <c r="N29" s="15">
        <v>0</v>
      </c>
      <c r="O29" s="15">
        <v>25</v>
      </c>
      <c r="P29" s="15">
        <f>SUM(J29:O29)</f>
        <v>91</v>
      </c>
      <c r="Q29" s="15">
        <v>15</v>
      </c>
      <c r="R29" s="15">
        <v>0</v>
      </c>
      <c r="S29" s="15">
        <v>0</v>
      </c>
      <c r="T29" s="15">
        <v>1</v>
      </c>
      <c r="U29" s="15">
        <v>173</v>
      </c>
      <c r="V29" s="18"/>
      <c r="W29" s="18"/>
      <c r="X29" s="30"/>
      <c r="Y29" s="30"/>
      <c r="Z29" s="30"/>
      <c r="AA29" s="30"/>
      <c r="AB29" s="34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</row>
    <row r="30" spans="1:28" s="30" customFormat="1" ht="18.75" customHeight="1">
      <c r="A30" s="32"/>
      <c r="B30" s="113"/>
      <c r="C30" s="21" t="s">
        <v>12</v>
      </c>
      <c r="D30" s="33"/>
      <c r="E30" s="23"/>
      <c r="F30" s="24">
        <f>SUM(F27:F29)</f>
        <v>110</v>
      </c>
      <c r="G30" s="24">
        <f>SUM(G27:G29)</f>
        <v>2</v>
      </c>
      <c r="H30" s="24">
        <f>SUM(H27:H29)</f>
        <v>6</v>
      </c>
      <c r="I30" s="40">
        <f>SUM(F30:H30)</f>
        <v>118</v>
      </c>
      <c r="J30" s="24">
        <f aca="true" t="shared" si="8" ref="J30:O30">SUM(J27:J29)</f>
        <v>35</v>
      </c>
      <c r="K30" s="24">
        <f t="shared" si="8"/>
        <v>15</v>
      </c>
      <c r="L30" s="24">
        <f t="shared" si="8"/>
        <v>23</v>
      </c>
      <c r="M30" s="24">
        <f t="shared" si="8"/>
        <v>1</v>
      </c>
      <c r="N30" s="24">
        <f t="shared" si="8"/>
        <v>0</v>
      </c>
      <c r="O30" s="24">
        <f t="shared" si="8"/>
        <v>28</v>
      </c>
      <c r="P30" s="24">
        <f t="shared" si="3"/>
        <v>102</v>
      </c>
      <c r="Q30" s="24">
        <f>SUM(Q27:Q29)</f>
        <v>15</v>
      </c>
      <c r="R30" s="24">
        <f>SUM(R27:R29)</f>
        <v>0</v>
      </c>
      <c r="S30" s="24">
        <f>SUM(S27:S29)</f>
        <v>0</v>
      </c>
      <c r="T30" s="24">
        <f>SUM(T27:T29)</f>
        <v>1</v>
      </c>
      <c r="U30" s="24">
        <f>SUM(U27:U29)</f>
        <v>198</v>
      </c>
      <c r="V30" s="26">
        <f>IF(I30-Q30=0,"",IF(D30="",(P30+S30)/(I30-Q30),IF(AND(D30&lt;&gt;"",(P30+S30)/(I30-Q30)&gt;=50%),(P30+S30)/(I30-Q30),"")))</f>
        <v>0.9902912621359223</v>
      </c>
      <c r="W30" s="26">
        <f>IF(I30=O30,"",IF(V30="",0,(P30+Q30+S30-O30)/(I30-O30)))</f>
        <v>0.9888888888888889</v>
      </c>
      <c r="AB30" s="34"/>
    </row>
    <row r="31" spans="1:28" s="30" customFormat="1" ht="21.75" customHeight="1">
      <c r="A31" s="32"/>
      <c r="B31" s="113" t="s">
        <v>33</v>
      </c>
      <c r="C31" s="14" t="s">
        <v>2</v>
      </c>
      <c r="D31" s="15" t="s">
        <v>30</v>
      </c>
      <c r="E31" s="17" t="s">
        <v>175</v>
      </c>
      <c r="F31" s="15"/>
      <c r="G31" s="15"/>
      <c r="H31" s="15"/>
      <c r="I31" s="17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8"/>
      <c r="W31" s="18"/>
      <c r="AB31" s="34"/>
    </row>
    <row r="32" spans="1:28" s="30" customFormat="1" ht="20.25" customHeight="1">
      <c r="A32" s="32">
        <v>34</v>
      </c>
      <c r="B32" s="113"/>
      <c r="C32" s="20" t="str">
        <f>IF(A32="","VARA",VLOOKUP(A32,'[1]varas'!$A$4:$B$67,2))</f>
        <v>1ª VT Jaboatão</v>
      </c>
      <c r="D32" s="15"/>
      <c r="E32" s="17"/>
      <c r="F32" s="15">
        <v>1</v>
      </c>
      <c r="G32" s="15">
        <v>0</v>
      </c>
      <c r="H32" s="15">
        <v>0</v>
      </c>
      <c r="I32" s="17">
        <f>SUM(F32:H32)</f>
        <v>1</v>
      </c>
      <c r="J32" s="15">
        <v>0</v>
      </c>
      <c r="K32" s="15">
        <v>0</v>
      </c>
      <c r="L32" s="15">
        <v>0</v>
      </c>
      <c r="M32" s="15">
        <v>0</v>
      </c>
      <c r="N32" s="15">
        <v>0</v>
      </c>
      <c r="O32" s="15">
        <v>1</v>
      </c>
      <c r="P32" s="15">
        <f>SUM(J32:O32)</f>
        <v>1</v>
      </c>
      <c r="Q32" s="15">
        <v>0</v>
      </c>
      <c r="R32" s="15">
        <v>0</v>
      </c>
      <c r="S32" s="15">
        <v>0</v>
      </c>
      <c r="T32" s="15">
        <v>0</v>
      </c>
      <c r="U32" s="15">
        <v>1</v>
      </c>
      <c r="V32" s="18"/>
      <c r="W32" s="18"/>
      <c r="AB32" s="34"/>
    </row>
    <row r="33" spans="1:28" s="30" customFormat="1" ht="16.5" customHeight="1">
      <c r="A33" s="32">
        <v>37</v>
      </c>
      <c r="B33" s="113"/>
      <c r="C33" s="20" t="str">
        <f>IF(A33="","VARA",VLOOKUP(A33,'[1]varas'!$A$4:$B$67,2))</f>
        <v>4ª VT Jaboatão</v>
      </c>
      <c r="D33" s="15"/>
      <c r="E33" s="17"/>
      <c r="F33" s="15">
        <f>48+37+11+8</f>
        <v>104</v>
      </c>
      <c r="G33" s="15">
        <v>1</v>
      </c>
      <c r="H33" s="15">
        <v>0</v>
      </c>
      <c r="I33" s="17">
        <f>SUM(F33:H33)</f>
        <v>105</v>
      </c>
      <c r="J33" s="15">
        <v>16</v>
      </c>
      <c r="K33" s="15">
        <v>18</v>
      </c>
      <c r="L33" s="15">
        <v>11</v>
      </c>
      <c r="M33" s="15">
        <v>8</v>
      </c>
      <c r="N33" s="15">
        <v>0</v>
      </c>
      <c r="O33" s="15">
        <v>37</v>
      </c>
      <c r="P33" s="15">
        <f t="shared" si="3"/>
        <v>90</v>
      </c>
      <c r="Q33" s="15">
        <v>15</v>
      </c>
      <c r="R33" s="15">
        <v>0</v>
      </c>
      <c r="S33" s="15">
        <v>0</v>
      </c>
      <c r="T33" s="15">
        <v>0</v>
      </c>
      <c r="U33" s="15">
        <v>212</v>
      </c>
      <c r="V33" s="18"/>
      <c r="W33" s="18"/>
      <c r="AB33" s="34"/>
    </row>
    <row r="34" spans="1:28" s="30" customFormat="1" ht="18" customHeight="1">
      <c r="A34" s="32"/>
      <c r="B34" s="113"/>
      <c r="C34" s="21" t="s">
        <v>12</v>
      </c>
      <c r="D34" s="33"/>
      <c r="E34" s="23"/>
      <c r="F34" s="24">
        <f>SUM(F31:F33)</f>
        <v>105</v>
      </c>
      <c r="G34" s="24">
        <f>SUM(G31:G33)</f>
        <v>1</v>
      </c>
      <c r="H34" s="24">
        <f>SUM(H31:H33)</f>
        <v>0</v>
      </c>
      <c r="I34" s="25">
        <f>SUM(F34:H34)</f>
        <v>106</v>
      </c>
      <c r="J34" s="24">
        <f aca="true" t="shared" si="9" ref="J34:O34">SUM(J31:J33)</f>
        <v>16</v>
      </c>
      <c r="K34" s="24">
        <f t="shared" si="9"/>
        <v>18</v>
      </c>
      <c r="L34" s="24">
        <f t="shared" si="9"/>
        <v>11</v>
      </c>
      <c r="M34" s="24">
        <f t="shared" si="9"/>
        <v>8</v>
      </c>
      <c r="N34" s="24">
        <f t="shared" si="9"/>
        <v>0</v>
      </c>
      <c r="O34" s="24">
        <f t="shared" si="9"/>
        <v>38</v>
      </c>
      <c r="P34" s="24">
        <f t="shared" si="3"/>
        <v>91</v>
      </c>
      <c r="Q34" s="24">
        <f>SUM(Q31:Q33)</f>
        <v>15</v>
      </c>
      <c r="R34" s="24">
        <f>SUM(R31:R33)</f>
        <v>0</v>
      </c>
      <c r="S34" s="24">
        <f>SUM(S31:S33)</f>
        <v>0</v>
      </c>
      <c r="T34" s="24">
        <f>SUM(T31:T33)</f>
        <v>0</v>
      </c>
      <c r="U34" s="24">
        <f>SUM(U31:U33)</f>
        <v>213</v>
      </c>
      <c r="V34" s="26">
        <f>IF(I34-Q34=0,"",IF(D34="",(P34+S34)/(I34-Q34),IF(AND(D34&lt;&gt;"",(P34+S34)/(I34-Q34)&gt;=50%),(P34+S34)/(I34-Q34),"")))</f>
        <v>1</v>
      </c>
      <c r="W34" s="26">
        <f>IF(I34=O34,"",IF(V34="",0,(P34+Q34+S34-O34)/(I34-O34)))</f>
        <v>1</v>
      </c>
      <c r="AB34" s="34"/>
    </row>
    <row r="35" spans="1:28" s="30" customFormat="1" ht="18.75" customHeight="1">
      <c r="A35" s="32"/>
      <c r="B35" s="113" t="s">
        <v>34</v>
      </c>
      <c r="C35" s="14" t="s">
        <v>2</v>
      </c>
      <c r="D35" s="15"/>
      <c r="E35" s="41" t="s">
        <v>27</v>
      </c>
      <c r="F35" s="15"/>
      <c r="G35" s="15"/>
      <c r="H35" s="15"/>
      <c r="I35" s="17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8"/>
      <c r="W35" s="18"/>
      <c r="AB35" s="34"/>
    </row>
    <row r="36" spans="1:28" s="30" customFormat="1" ht="17.25" customHeight="1">
      <c r="A36" s="32">
        <v>53</v>
      </c>
      <c r="B36" s="113"/>
      <c r="C36" s="20" t="str">
        <f>IF(A36="","VARA",VLOOKUP(A36,'[1]varas'!$A$4:$B$67,2))</f>
        <v>VT Nazaré</v>
      </c>
      <c r="D36" s="15"/>
      <c r="E36" s="41"/>
      <c r="F36" s="15">
        <f>44+96+6+6</f>
        <v>152</v>
      </c>
      <c r="G36" s="15">
        <v>1</v>
      </c>
      <c r="H36" s="15">
        <v>0</v>
      </c>
      <c r="I36" s="17">
        <f>SUM(F36:H36)</f>
        <v>153</v>
      </c>
      <c r="J36" s="15">
        <v>21</v>
      </c>
      <c r="K36" s="15">
        <v>11</v>
      </c>
      <c r="L36" s="15">
        <v>6</v>
      </c>
      <c r="M36" s="15">
        <v>6</v>
      </c>
      <c r="N36" s="15">
        <v>0</v>
      </c>
      <c r="O36" s="15">
        <v>96</v>
      </c>
      <c r="P36" s="15">
        <f>SUM(J36:O36)</f>
        <v>140</v>
      </c>
      <c r="Q36" s="15">
        <v>13</v>
      </c>
      <c r="R36" s="15">
        <v>0</v>
      </c>
      <c r="S36" s="15">
        <v>0</v>
      </c>
      <c r="T36" s="15">
        <v>0</v>
      </c>
      <c r="U36" s="15">
        <v>285</v>
      </c>
      <c r="V36" s="18"/>
      <c r="W36" s="18"/>
      <c r="AB36" s="34"/>
    </row>
    <row r="37" spans="1:28" s="30" customFormat="1" ht="19.5" customHeight="1">
      <c r="A37" s="32"/>
      <c r="B37" s="113"/>
      <c r="C37" s="20" t="s">
        <v>12</v>
      </c>
      <c r="D37" s="33"/>
      <c r="E37" s="23"/>
      <c r="F37" s="24">
        <f>SUM(F35:F36)</f>
        <v>152</v>
      </c>
      <c r="G37" s="24">
        <f>SUM(G35:G36)</f>
        <v>1</v>
      </c>
      <c r="H37" s="24">
        <f>SUM(H35:H36)</f>
        <v>0</v>
      </c>
      <c r="I37" s="40">
        <f>SUM(F37:H37)</f>
        <v>153</v>
      </c>
      <c r="J37" s="24">
        <f aca="true" t="shared" si="10" ref="J37:O37">SUM(J35:J36)</f>
        <v>21</v>
      </c>
      <c r="K37" s="24">
        <f t="shared" si="10"/>
        <v>11</v>
      </c>
      <c r="L37" s="24">
        <f t="shared" si="10"/>
        <v>6</v>
      </c>
      <c r="M37" s="24">
        <f t="shared" si="10"/>
        <v>6</v>
      </c>
      <c r="N37" s="24">
        <f t="shared" si="10"/>
        <v>0</v>
      </c>
      <c r="O37" s="24">
        <f t="shared" si="10"/>
        <v>96</v>
      </c>
      <c r="P37" s="24">
        <f t="shared" si="3"/>
        <v>140</v>
      </c>
      <c r="Q37" s="24">
        <f>SUM(Q35:Q36)</f>
        <v>13</v>
      </c>
      <c r="R37" s="24">
        <f>SUM(R35:R36)</f>
        <v>0</v>
      </c>
      <c r="S37" s="24">
        <f>SUM(S35:S36)</f>
        <v>0</v>
      </c>
      <c r="T37" s="24">
        <f>SUM(T35:T36)</f>
        <v>0</v>
      </c>
      <c r="U37" s="24">
        <f>SUM(U35:U36)</f>
        <v>285</v>
      </c>
      <c r="V37" s="26">
        <f>IF(I37-Q37=0,"",IF(D37="",(P37+S37)/(I37-Q37),IF(AND(D37&lt;&gt;"",(P37+S37)/(I37-Q37)&gt;=50%),(P37+S37)/(I37-Q37),"")))</f>
        <v>1</v>
      </c>
      <c r="W37" s="26">
        <f>IF(I37=O37,"",IF(V37="",0,(P37+Q37+S37-O37)/(I37-O37)))</f>
        <v>1</v>
      </c>
      <c r="AB37" s="34"/>
    </row>
    <row r="38" spans="1:28" s="30" customFormat="1" ht="21.75" customHeight="1">
      <c r="A38" s="32"/>
      <c r="B38" s="113" t="s">
        <v>192</v>
      </c>
      <c r="C38" s="14" t="s">
        <v>2</v>
      </c>
      <c r="D38" s="42" t="s">
        <v>197</v>
      </c>
      <c r="E38" s="16" t="s">
        <v>198</v>
      </c>
      <c r="F38" s="15"/>
      <c r="G38" s="15"/>
      <c r="H38" s="15"/>
      <c r="I38" s="17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8"/>
      <c r="W38" s="18"/>
      <c r="AB38" s="34"/>
    </row>
    <row r="39" spans="1:28" s="30" customFormat="1" ht="18" customHeight="1">
      <c r="A39" s="32">
        <v>10</v>
      </c>
      <c r="B39" s="113"/>
      <c r="C39" s="20" t="str">
        <f>IF(A39="","VARA",VLOOKUP(A39,'[1]varas'!$A$4:$B$67,2))</f>
        <v>10ª VT Recife</v>
      </c>
      <c r="D39" s="43"/>
      <c r="E39" s="16"/>
      <c r="F39" s="15">
        <f>37+18+24</f>
        <v>79</v>
      </c>
      <c r="G39" s="15">
        <v>0</v>
      </c>
      <c r="H39" s="15">
        <v>0</v>
      </c>
      <c r="I39" s="17">
        <f>SUM(F39:H39)</f>
        <v>79</v>
      </c>
      <c r="J39" s="15">
        <v>34</v>
      </c>
      <c r="K39" s="15">
        <v>3</v>
      </c>
      <c r="L39" s="15">
        <v>22</v>
      </c>
      <c r="M39" s="15">
        <v>2</v>
      </c>
      <c r="N39" s="15">
        <v>0</v>
      </c>
      <c r="O39" s="15">
        <v>18</v>
      </c>
      <c r="P39" s="15">
        <f t="shared" si="3"/>
        <v>79</v>
      </c>
      <c r="Q39" s="15">
        <v>0</v>
      </c>
      <c r="R39" s="15">
        <v>0</v>
      </c>
      <c r="S39" s="15">
        <v>0</v>
      </c>
      <c r="T39" s="15">
        <v>0</v>
      </c>
      <c r="U39" s="15">
        <v>164</v>
      </c>
      <c r="V39" s="18"/>
      <c r="W39" s="18"/>
      <c r="AB39" s="34"/>
    </row>
    <row r="40" spans="1:41" s="39" customFormat="1" ht="21" customHeight="1">
      <c r="A40" s="32"/>
      <c r="B40" s="113"/>
      <c r="C40" s="21" t="s">
        <v>12</v>
      </c>
      <c r="D40" s="33"/>
      <c r="E40" s="23"/>
      <c r="F40" s="24">
        <f>SUM(F38:F39)</f>
        <v>79</v>
      </c>
      <c r="G40" s="24">
        <f>SUM(G38:G39)</f>
        <v>0</v>
      </c>
      <c r="H40" s="24">
        <f>SUM(H38:H39)</f>
        <v>0</v>
      </c>
      <c r="I40" s="25">
        <f>SUM(F40:H40)</f>
        <v>79</v>
      </c>
      <c r="J40" s="24">
        <f aca="true" t="shared" si="11" ref="J40:O40">SUM(J38:J39)</f>
        <v>34</v>
      </c>
      <c r="K40" s="24">
        <f t="shared" si="11"/>
        <v>3</v>
      </c>
      <c r="L40" s="24">
        <f t="shared" si="11"/>
        <v>22</v>
      </c>
      <c r="M40" s="24">
        <f t="shared" si="11"/>
        <v>2</v>
      </c>
      <c r="N40" s="24">
        <f t="shared" si="11"/>
        <v>0</v>
      </c>
      <c r="O40" s="24">
        <f t="shared" si="11"/>
        <v>18</v>
      </c>
      <c r="P40" s="24">
        <f t="shared" si="3"/>
        <v>79</v>
      </c>
      <c r="Q40" s="24">
        <f>SUM(Q38:Q39)</f>
        <v>0</v>
      </c>
      <c r="R40" s="24">
        <f>SUM(R38:R39)</f>
        <v>0</v>
      </c>
      <c r="S40" s="24">
        <f>SUM(S38:S39)</f>
        <v>0</v>
      </c>
      <c r="T40" s="24">
        <f>SUM(T38:T39)</f>
        <v>0</v>
      </c>
      <c r="U40" s="24">
        <f>SUM(U38:U39)</f>
        <v>164</v>
      </c>
      <c r="V40" s="26">
        <f>IF(I40-Q40=0,"",IF(D40="",(P40+S40)/(I40-Q40),IF(AND(D40&lt;&gt;"",(P40+S40)/(I40-Q40)&gt;=50%),(P40+S40)/(I40-Q40),"")))</f>
        <v>1</v>
      </c>
      <c r="W40" s="26">
        <f>IF(I40=O40,"",IF(V40="",0,(P40+Q40+S40-O40)/(I40-O40)))</f>
        <v>1</v>
      </c>
      <c r="X40" s="30"/>
      <c r="Y40" s="30"/>
      <c r="Z40" s="30"/>
      <c r="AA40" s="30"/>
      <c r="AB40" s="34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</row>
    <row r="41" spans="1:28" s="30" customFormat="1" ht="21.75" customHeight="1">
      <c r="A41" s="32"/>
      <c r="B41" s="113" t="s">
        <v>35</v>
      </c>
      <c r="C41" s="14" t="s">
        <v>2</v>
      </c>
      <c r="D41" s="29" t="s">
        <v>30</v>
      </c>
      <c r="E41" s="16" t="s">
        <v>176</v>
      </c>
      <c r="F41" s="15"/>
      <c r="G41" s="15"/>
      <c r="H41" s="15"/>
      <c r="I41" s="17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8"/>
      <c r="W41" s="18"/>
      <c r="AB41" s="34"/>
    </row>
    <row r="42" spans="1:28" s="30" customFormat="1" ht="20.25" customHeight="1">
      <c r="A42" s="32">
        <v>60</v>
      </c>
      <c r="B42" s="113"/>
      <c r="C42" s="20" t="str">
        <f>IF(A42="","VARA",VLOOKUP(A42,'[1]varas'!$A$4:$B$67,2))</f>
        <v>VT Timbaúba</v>
      </c>
      <c r="D42" s="15"/>
      <c r="E42" s="17"/>
      <c r="F42" s="15">
        <f>4+27</f>
        <v>31</v>
      </c>
      <c r="G42" s="15">
        <v>3</v>
      </c>
      <c r="H42" s="15">
        <v>8</v>
      </c>
      <c r="I42" s="17">
        <f>SUM(F42:H42)</f>
        <v>42</v>
      </c>
      <c r="J42" s="15">
        <v>10</v>
      </c>
      <c r="K42" s="15">
        <v>2</v>
      </c>
      <c r="L42" s="15">
        <v>0</v>
      </c>
      <c r="M42" s="15">
        <v>0</v>
      </c>
      <c r="N42" s="15">
        <v>0</v>
      </c>
      <c r="O42" s="15">
        <v>27</v>
      </c>
      <c r="P42" s="15">
        <f>SUM(J42:O42)</f>
        <v>39</v>
      </c>
      <c r="Q42" s="15">
        <v>2</v>
      </c>
      <c r="R42" s="15">
        <v>1</v>
      </c>
      <c r="S42" s="15">
        <v>0</v>
      </c>
      <c r="T42" s="15">
        <v>0</v>
      </c>
      <c r="U42" s="15">
        <v>46</v>
      </c>
      <c r="V42" s="18"/>
      <c r="W42" s="18"/>
      <c r="AB42" s="34"/>
    </row>
    <row r="43" spans="1:28" s="30" customFormat="1" ht="18.75" customHeight="1">
      <c r="A43" s="32"/>
      <c r="B43" s="113"/>
      <c r="C43" s="21" t="s">
        <v>12</v>
      </c>
      <c r="D43" s="33"/>
      <c r="E43" s="23"/>
      <c r="F43" s="24">
        <f>SUM(F41:F42)</f>
        <v>31</v>
      </c>
      <c r="G43" s="24">
        <f>SUM(G41:G42)</f>
        <v>3</v>
      </c>
      <c r="H43" s="24">
        <f>SUM(H41:H42)</f>
        <v>8</v>
      </c>
      <c r="I43" s="25">
        <f>SUM(F43:H43)</f>
        <v>42</v>
      </c>
      <c r="J43" s="24">
        <f aca="true" t="shared" si="12" ref="J43:O43">SUM(J41:J42)</f>
        <v>10</v>
      </c>
      <c r="K43" s="24">
        <f t="shared" si="12"/>
        <v>2</v>
      </c>
      <c r="L43" s="24">
        <f t="shared" si="12"/>
        <v>0</v>
      </c>
      <c r="M43" s="24">
        <f t="shared" si="12"/>
        <v>0</v>
      </c>
      <c r="N43" s="24">
        <f t="shared" si="12"/>
        <v>0</v>
      </c>
      <c r="O43" s="24">
        <f t="shared" si="12"/>
        <v>27</v>
      </c>
      <c r="P43" s="24">
        <f t="shared" si="3"/>
        <v>39</v>
      </c>
      <c r="Q43" s="24">
        <f>SUM(Q41:Q42)</f>
        <v>2</v>
      </c>
      <c r="R43" s="24">
        <f>SUM(R41:R42)</f>
        <v>1</v>
      </c>
      <c r="S43" s="24">
        <f>SUM(S41:S42)</f>
        <v>0</v>
      </c>
      <c r="T43" s="24">
        <f>SUM(T41:T42)</f>
        <v>0</v>
      </c>
      <c r="U43" s="24">
        <f>SUM(U41:U42)</f>
        <v>46</v>
      </c>
      <c r="V43" s="26">
        <f>IF(I43-Q43=0,"",IF(D43="",(P43+S43)/(I43-Q43),IF(AND(D43&lt;&gt;"",(P43+S43)/(I43-Q43)&gt;=50%),(P43+S43)/(I43-Q43),"")))</f>
        <v>0.975</v>
      </c>
      <c r="W43" s="26">
        <f>IF(I43=O43,"",IF(V43="",0,(P43+Q43+S43-O43)/(I43-O43)))</f>
        <v>0.9333333333333333</v>
      </c>
      <c r="AB43" s="34"/>
    </row>
    <row r="44" spans="1:41" s="39" customFormat="1" ht="18.75" customHeight="1">
      <c r="A44" s="32"/>
      <c r="B44" s="113" t="s">
        <v>36</v>
      </c>
      <c r="C44" s="14" t="s">
        <v>2</v>
      </c>
      <c r="D44" s="29"/>
      <c r="E44" s="16" t="s">
        <v>27</v>
      </c>
      <c r="F44" s="15"/>
      <c r="G44" s="15"/>
      <c r="H44" s="15"/>
      <c r="I44" s="17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8"/>
      <c r="W44" s="18"/>
      <c r="X44" s="30"/>
      <c r="Y44" s="30"/>
      <c r="Z44" s="30"/>
      <c r="AA44" s="30"/>
      <c r="AB44" s="34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</row>
    <row r="45" spans="1:41" s="39" customFormat="1" ht="19.5" customHeight="1">
      <c r="A45" s="32">
        <v>22</v>
      </c>
      <c r="B45" s="113"/>
      <c r="C45" s="20" t="str">
        <f>IF(A45="","VARA",VLOOKUP(A45,'[1]varas'!$A$4:$B$67,2))</f>
        <v>22ª VT Recife</v>
      </c>
      <c r="D45" s="15"/>
      <c r="E45" s="16"/>
      <c r="F45" s="15">
        <f>54+28+19+7</f>
        <v>108</v>
      </c>
      <c r="G45" s="15">
        <v>17</v>
      </c>
      <c r="H45" s="15">
        <v>52</v>
      </c>
      <c r="I45" s="17">
        <f>SUM(F45:H45)</f>
        <v>177</v>
      </c>
      <c r="J45" s="15">
        <v>71</v>
      </c>
      <c r="K45" s="15">
        <v>13</v>
      </c>
      <c r="L45" s="15">
        <v>16</v>
      </c>
      <c r="M45" s="15">
        <v>11</v>
      </c>
      <c r="N45" s="15">
        <v>0</v>
      </c>
      <c r="O45" s="15">
        <v>28</v>
      </c>
      <c r="P45" s="15">
        <f t="shared" si="3"/>
        <v>139</v>
      </c>
      <c r="Q45" s="15">
        <v>29</v>
      </c>
      <c r="R45" s="15">
        <v>8</v>
      </c>
      <c r="S45" s="15">
        <v>0</v>
      </c>
      <c r="T45" s="15">
        <v>1</v>
      </c>
      <c r="U45" s="15">
        <v>120</v>
      </c>
      <c r="V45" s="18"/>
      <c r="W45" s="18"/>
      <c r="X45" s="30"/>
      <c r="Y45" s="30"/>
      <c r="Z45" s="30"/>
      <c r="AA45" s="30"/>
      <c r="AB45" s="34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</row>
    <row r="46" spans="1:28" s="30" customFormat="1" ht="15.75" customHeight="1">
      <c r="A46" s="32"/>
      <c r="B46" s="113"/>
      <c r="C46" s="21" t="s">
        <v>12</v>
      </c>
      <c r="D46" s="33"/>
      <c r="E46" s="23"/>
      <c r="F46" s="24">
        <f>SUM(F44:F45)</f>
        <v>108</v>
      </c>
      <c r="G46" s="24">
        <f>SUM(G44:G45)</f>
        <v>17</v>
      </c>
      <c r="H46" s="24">
        <f>SUM(H44:H45)</f>
        <v>52</v>
      </c>
      <c r="I46" s="25">
        <f>SUM(F46:H46)</f>
        <v>177</v>
      </c>
      <c r="J46" s="24">
        <f aca="true" t="shared" si="13" ref="J46:O46">SUM(J44:J45)</f>
        <v>71</v>
      </c>
      <c r="K46" s="24">
        <f t="shared" si="13"/>
        <v>13</v>
      </c>
      <c r="L46" s="24">
        <f t="shared" si="13"/>
        <v>16</v>
      </c>
      <c r="M46" s="24">
        <f t="shared" si="13"/>
        <v>11</v>
      </c>
      <c r="N46" s="24">
        <f t="shared" si="13"/>
        <v>0</v>
      </c>
      <c r="O46" s="24">
        <f t="shared" si="13"/>
        <v>28</v>
      </c>
      <c r="P46" s="24">
        <f>SUM(J46:O46)</f>
        <v>139</v>
      </c>
      <c r="Q46" s="24">
        <f>SUM(Q44:Q45)</f>
        <v>29</v>
      </c>
      <c r="R46" s="24">
        <f>SUM(R44:R45)</f>
        <v>8</v>
      </c>
      <c r="S46" s="24">
        <f>SUM(S44:S45)</f>
        <v>0</v>
      </c>
      <c r="T46" s="24">
        <f>SUM(T44:T45)</f>
        <v>1</v>
      </c>
      <c r="U46" s="24">
        <f>SUM(U44:U45)</f>
        <v>120</v>
      </c>
      <c r="V46" s="26">
        <f>IF(I46-Q46=0,"",IF(D46="",(P46+S46)/(I46-Q46),IF(AND(D46&lt;&gt;"",(P46+S46)/(I46-Q46)&gt;=50%),(P46+S46)/(I46-Q46),"")))</f>
        <v>0.9391891891891891</v>
      </c>
      <c r="W46" s="26">
        <f>IF(I46=O46,"",IF(V46="",0,(P46+Q46+S46-O46)/(I46-O46)))</f>
        <v>0.9395973154362416</v>
      </c>
      <c r="AB46" s="34"/>
    </row>
    <row r="47" spans="1:28" s="30" customFormat="1" ht="19.5" customHeight="1">
      <c r="A47" s="32"/>
      <c r="B47" s="113" t="s">
        <v>37</v>
      </c>
      <c r="C47" s="14" t="s">
        <v>2</v>
      </c>
      <c r="D47" s="29" t="s">
        <v>190</v>
      </c>
      <c r="E47" s="16" t="s">
        <v>191</v>
      </c>
      <c r="F47" s="15"/>
      <c r="G47" s="15"/>
      <c r="H47" s="15"/>
      <c r="I47" s="17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8"/>
      <c r="W47" s="18"/>
      <c r="AB47" s="34"/>
    </row>
    <row r="48" spans="1:28" s="30" customFormat="1" ht="21.75" customHeight="1">
      <c r="A48" s="32">
        <v>58</v>
      </c>
      <c r="B48" s="113"/>
      <c r="C48" s="20" t="str">
        <f>IF(A48="","VARA",VLOOKUP(A48,'[1]varas'!$A$4:$B$67,2))</f>
        <v>VT S.Talhada</v>
      </c>
      <c r="D48" s="15"/>
      <c r="E48" s="16"/>
      <c r="F48" s="15">
        <f>107+21+8</f>
        <v>136</v>
      </c>
      <c r="G48" s="15">
        <v>0</v>
      </c>
      <c r="H48" s="15">
        <v>0</v>
      </c>
      <c r="I48" s="17">
        <f>SUM(F48:H48)</f>
        <v>136</v>
      </c>
      <c r="J48" s="15">
        <v>53</v>
      </c>
      <c r="K48" s="15">
        <v>30</v>
      </c>
      <c r="L48" s="15">
        <v>6</v>
      </c>
      <c r="M48" s="15">
        <v>2</v>
      </c>
      <c r="N48" s="15">
        <v>0</v>
      </c>
      <c r="O48" s="15">
        <v>21</v>
      </c>
      <c r="P48" s="15">
        <f>SUM(J48:O48)</f>
        <v>112</v>
      </c>
      <c r="Q48" s="15">
        <v>24</v>
      </c>
      <c r="R48" s="15">
        <v>0</v>
      </c>
      <c r="S48" s="15">
        <v>0</v>
      </c>
      <c r="T48" s="15">
        <v>0</v>
      </c>
      <c r="U48" s="15">
        <v>198</v>
      </c>
      <c r="V48" s="18"/>
      <c r="W48" s="18"/>
      <c r="AB48" s="34"/>
    </row>
    <row r="49" spans="1:28" s="30" customFormat="1" ht="18" customHeight="1">
      <c r="A49" s="32"/>
      <c r="B49" s="113"/>
      <c r="C49" s="21" t="s">
        <v>12</v>
      </c>
      <c r="D49" s="33"/>
      <c r="E49" s="23"/>
      <c r="F49" s="24">
        <f>SUM(F47:F48)</f>
        <v>136</v>
      </c>
      <c r="G49" s="24">
        <f>SUM(G47:G48)</f>
        <v>0</v>
      </c>
      <c r="H49" s="24">
        <f>SUM(H47:H48)</f>
        <v>0</v>
      </c>
      <c r="I49" s="40">
        <f>SUM(F49:H49)</f>
        <v>136</v>
      </c>
      <c r="J49" s="24">
        <f aca="true" t="shared" si="14" ref="J49:O49">SUM(J47:J48)</f>
        <v>53</v>
      </c>
      <c r="K49" s="24">
        <f t="shared" si="14"/>
        <v>30</v>
      </c>
      <c r="L49" s="24">
        <f t="shared" si="14"/>
        <v>6</v>
      </c>
      <c r="M49" s="24">
        <f t="shared" si="14"/>
        <v>2</v>
      </c>
      <c r="N49" s="24">
        <f t="shared" si="14"/>
        <v>0</v>
      </c>
      <c r="O49" s="24">
        <f t="shared" si="14"/>
        <v>21</v>
      </c>
      <c r="P49" s="24">
        <f t="shared" si="3"/>
        <v>112</v>
      </c>
      <c r="Q49" s="24">
        <f>SUM(Q47:Q48)</f>
        <v>24</v>
      </c>
      <c r="R49" s="24">
        <f>SUM(R47:R48)</f>
        <v>0</v>
      </c>
      <c r="S49" s="24">
        <f>SUM(S47:S48)</f>
        <v>0</v>
      </c>
      <c r="T49" s="24">
        <f>SUM(T47:T48)</f>
        <v>0</v>
      </c>
      <c r="U49" s="24">
        <f>SUM(U47:U48)</f>
        <v>198</v>
      </c>
      <c r="V49" s="26">
        <f>IF(I49-Q49=0,"",IF(D49="",(P49+S49)/(I49-Q49),IF(AND(D49&lt;&gt;"",(P49+S49)/(I49-Q49)&gt;=50%),(P49+S49)/(I49-Q49),"")))</f>
        <v>1</v>
      </c>
      <c r="W49" s="26">
        <f>IF(I49=O49,"",IF(V49="",0,(P49+Q49+S49-O49)/(I49-O49)))</f>
        <v>1</v>
      </c>
      <c r="AB49" s="34"/>
    </row>
    <row r="50" spans="1:28" s="30" customFormat="1" ht="21.75" customHeight="1">
      <c r="A50" s="32"/>
      <c r="B50" s="113" t="s">
        <v>38</v>
      </c>
      <c r="C50" s="14" t="s">
        <v>2</v>
      </c>
      <c r="D50" s="29" t="s">
        <v>30</v>
      </c>
      <c r="E50" s="16" t="s">
        <v>201</v>
      </c>
      <c r="F50" s="15"/>
      <c r="G50" s="15"/>
      <c r="H50" s="15"/>
      <c r="I50" s="17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8"/>
      <c r="W50" s="18"/>
      <c r="AB50" s="34"/>
    </row>
    <row r="51" spans="1:28" s="30" customFormat="1" ht="16.5" customHeight="1">
      <c r="A51" s="32">
        <v>11</v>
      </c>
      <c r="B51" s="113"/>
      <c r="C51" s="20" t="str">
        <f>IF(A51="","VARA",VLOOKUP(A51,'[1]varas'!$A$4:$B$67,2))</f>
        <v>11ª VT Recife</v>
      </c>
      <c r="D51" s="15"/>
      <c r="E51" s="16"/>
      <c r="F51" s="15">
        <v>0</v>
      </c>
      <c r="G51" s="15">
        <v>33</v>
      </c>
      <c r="H51" s="15">
        <v>15</v>
      </c>
      <c r="I51" s="17">
        <f>SUM(F51:H51)</f>
        <v>48</v>
      </c>
      <c r="J51" s="15">
        <v>29</v>
      </c>
      <c r="K51" s="15">
        <v>0</v>
      </c>
      <c r="L51" s="15">
        <v>0</v>
      </c>
      <c r="M51" s="15">
        <v>0</v>
      </c>
      <c r="N51" s="15">
        <v>0</v>
      </c>
      <c r="O51" s="15">
        <v>0</v>
      </c>
      <c r="P51" s="15">
        <f t="shared" si="3"/>
        <v>29</v>
      </c>
      <c r="Q51" s="15">
        <v>17</v>
      </c>
      <c r="R51" s="15">
        <v>0</v>
      </c>
      <c r="S51" s="15">
        <v>0</v>
      </c>
      <c r="T51" s="15">
        <v>2</v>
      </c>
      <c r="U51" s="15">
        <v>0</v>
      </c>
      <c r="V51" s="18"/>
      <c r="W51" s="18"/>
      <c r="AB51" s="34"/>
    </row>
    <row r="52" spans="1:28" s="45" customFormat="1" ht="16.5" customHeight="1">
      <c r="A52" s="44"/>
      <c r="B52" s="113"/>
      <c r="C52" s="21" t="s">
        <v>12</v>
      </c>
      <c r="D52" s="33"/>
      <c r="E52" s="23"/>
      <c r="F52" s="24">
        <f>SUM(F50:F51)</f>
        <v>0</v>
      </c>
      <c r="G52" s="24">
        <f>SUM(G50:G51)</f>
        <v>33</v>
      </c>
      <c r="H52" s="24">
        <f>SUM(H50:H51)</f>
        <v>15</v>
      </c>
      <c r="I52" s="40">
        <f>SUM(F52:H52)</f>
        <v>48</v>
      </c>
      <c r="J52" s="24">
        <f aca="true" t="shared" si="15" ref="J52:O52">SUM(J50:J51)</f>
        <v>29</v>
      </c>
      <c r="K52" s="24">
        <f t="shared" si="15"/>
        <v>0</v>
      </c>
      <c r="L52" s="24">
        <f t="shared" si="15"/>
        <v>0</v>
      </c>
      <c r="M52" s="24">
        <f t="shared" si="15"/>
        <v>0</v>
      </c>
      <c r="N52" s="24">
        <f t="shared" si="15"/>
        <v>0</v>
      </c>
      <c r="O52" s="24">
        <f t="shared" si="15"/>
        <v>0</v>
      </c>
      <c r="P52" s="24">
        <f t="shared" si="3"/>
        <v>29</v>
      </c>
      <c r="Q52" s="24">
        <f>SUM(Q50:Q51)</f>
        <v>17</v>
      </c>
      <c r="R52" s="24">
        <f>SUM(R50:R51)</f>
        <v>0</v>
      </c>
      <c r="S52" s="24">
        <f>SUM(S50:S51)</f>
        <v>0</v>
      </c>
      <c r="T52" s="24">
        <f>SUM(T50:T51)</f>
        <v>2</v>
      </c>
      <c r="U52" s="24">
        <f>SUM(U50:U51)</f>
        <v>0</v>
      </c>
      <c r="V52" s="26">
        <f>IF(I52-Q52=0,"",IF(D52="",(P52+S52)/(I52-Q52),IF(AND(D52&lt;&gt;"",(P52+S52)/(I52-Q52)&gt;=50%),(P52+S52)/(I52-Q52),"")))</f>
        <v>0.9354838709677419</v>
      </c>
      <c r="W52" s="26">
        <f>IF(I52=O52,"",IF(V52="",0,(P52+Q52+S52-O52)/(I52-O52)))</f>
        <v>0.9583333333333334</v>
      </c>
      <c r="AB52" s="38"/>
    </row>
    <row r="53" spans="1:28" s="30" customFormat="1" ht="21" customHeight="1">
      <c r="A53" s="32"/>
      <c r="B53" s="113" t="s">
        <v>39</v>
      </c>
      <c r="C53" s="14" t="s">
        <v>2</v>
      </c>
      <c r="D53" s="29" t="s">
        <v>199</v>
      </c>
      <c r="E53" s="16" t="s">
        <v>200</v>
      </c>
      <c r="F53" s="15"/>
      <c r="G53" s="15"/>
      <c r="H53" s="15"/>
      <c r="I53" s="17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8"/>
      <c r="W53" s="18"/>
      <c r="AB53" s="34"/>
    </row>
    <row r="54" spans="1:28" s="30" customFormat="1" ht="19.5" customHeight="1">
      <c r="A54" s="32">
        <v>55</v>
      </c>
      <c r="B54" s="113"/>
      <c r="C54" s="20" t="str">
        <f>IF(A54="","VARA",VLOOKUP(A54,'[1]varas'!$A$4:$B$67,2))</f>
        <v>VT Pesqueira</v>
      </c>
      <c r="D54" s="15"/>
      <c r="E54" s="17"/>
      <c r="F54" s="15">
        <f>11+60+4+9+3</f>
        <v>87</v>
      </c>
      <c r="G54" s="15">
        <v>20</v>
      </c>
      <c r="H54" s="15">
        <v>3</v>
      </c>
      <c r="I54" s="17">
        <f>SUM(F54:H54)</f>
        <v>110</v>
      </c>
      <c r="J54" s="15">
        <v>32</v>
      </c>
      <c r="K54" s="15">
        <v>1</v>
      </c>
      <c r="L54" s="15">
        <v>4</v>
      </c>
      <c r="M54" s="15">
        <v>9</v>
      </c>
      <c r="N54" s="15">
        <v>3</v>
      </c>
      <c r="O54" s="15">
        <v>60</v>
      </c>
      <c r="P54" s="15">
        <f t="shared" si="3"/>
        <v>109</v>
      </c>
      <c r="Q54" s="15">
        <v>0</v>
      </c>
      <c r="R54" s="15">
        <v>0</v>
      </c>
      <c r="S54" s="15">
        <v>0</v>
      </c>
      <c r="T54" s="15">
        <v>1</v>
      </c>
      <c r="U54" s="15">
        <v>60</v>
      </c>
      <c r="V54" s="18"/>
      <c r="W54" s="18"/>
      <c r="AB54" s="34"/>
    </row>
    <row r="55" spans="2:28" s="32" customFormat="1" ht="18" customHeight="1">
      <c r="B55" s="113"/>
      <c r="C55" s="21" t="s">
        <v>12</v>
      </c>
      <c r="D55" s="33"/>
      <c r="E55" s="23"/>
      <c r="F55" s="24">
        <f>SUM(F53:F54)</f>
        <v>87</v>
      </c>
      <c r="G55" s="24">
        <f>SUM(G53:G54)</f>
        <v>20</v>
      </c>
      <c r="H55" s="24">
        <f>SUM(H53:H54)</f>
        <v>3</v>
      </c>
      <c r="I55" s="40">
        <f>SUM(F55:H55)</f>
        <v>110</v>
      </c>
      <c r="J55" s="24">
        <f aca="true" t="shared" si="16" ref="J55:O55">SUM(J53:J54)</f>
        <v>32</v>
      </c>
      <c r="K55" s="24">
        <f t="shared" si="16"/>
        <v>1</v>
      </c>
      <c r="L55" s="24">
        <f t="shared" si="16"/>
        <v>4</v>
      </c>
      <c r="M55" s="24">
        <f t="shared" si="16"/>
        <v>9</v>
      </c>
      <c r="N55" s="24">
        <f t="shared" si="16"/>
        <v>3</v>
      </c>
      <c r="O55" s="24">
        <f t="shared" si="16"/>
        <v>60</v>
      </c>
      <c r="P55" s="24">
        <f t="shared" si="3"/>
        <v>109</v>
      </c>
      <c r="Q55" s="24">
        <f>SUM(Q53:Q54)</f>
        <v>0</v>
      </c>
      <c r="R55" s="24">
        <f>SUM(R53:R54)</f>
        <v>0</v>
      </c>
      <c r="S55" s="24">
        <f>SUM(S53:S54)</f>
        <v>0</v>
      </c>
      <c r="T55" s="24">
        <f>SUM(T53:T54)</f>
        <v>1</v>
      </c>
      <c r="U55" s="24">
        <f>SUM(U53:U54)</f>
        <v>60</v>
      </c>
      <c r="V55" s="26">
        <f>IF(I55-Q55=0,"",IF(D55="",(P55+S55)/(I55-Q55),IF(AND(D55&lt;&gt;"",(P55+S55)/(I55-Q55)&gt;=50%),(P55+S55)/(I55-Q55),"")))</f>
        <v>0.990909090909091</v>
      </c>
      <c r="W55" s="26">
        <f>IF(I55=O55,"",IF(V55="",0,(P55+Q55+S55-O55)/(I55-O55)))</f>
        <v>0.98</v>
      </c>
      <c r="AB55" s="46"/>
    </row>
    <row r="56" spans="1:41" s="39" customFormat="1" ht="21.75" customHeight="1">
      <c r="A56" s="32"/>
      <c r="B56" s="113" t="s">
        <v>40</v>
      </c>
      <c r="C56" s="14" t="s">
        <v>2</v>
      </c>
      <c r="D56" s="29" t="s">
        <v>30</v>
      </c>
      <c r="E56" s="16" t="s">
        <v>201</v>
      </c>
      <c r="F56" s="15"/>
      <c r="G56" s="15"/>
      <c r="H56" s="15"/>
      <c r="I56" s="17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8"/>
      <c r="W56" s="18"/>
      <c r="X56" s="30"/>
      <c r="Y56" s="30"/>
      <c r="Z56" s="30"/>
      <c r="AA56" s="30"/>
      <c r="AB56" s="34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</row>
    <row r="57" spans="1:41" s="39" customFormat="1" ht="20.25" customHeight="1">
      <c r="A57" s="32">
        <v>28</v>
      </c>
      <c r="B57" s="113"/>
      <c r="C57" s="20" t="str">
        <f>IF(A57="","VARA",VLOOKUP(A57,'[1]varas'!$A$4:$B$67,2))</f>
        <v>1ª VT Caruaru</v>
      </c>
      <c r="D57" s="29"/>
      <c r="E57" s="16"/>
      <c r="F57" s="15">
        <v>1</v>
      </c>
      <c r="G57" s="15">
        <v>0</v>
      </c>
      <c r="H57" s="15">
        <v>0</v>
      </c>
      <c r="I57" s="17">
        <f>SUM(F57:H57)</f>
        <v>1</v>
      </c>
      <c r="J57" s="15">
        <v>1</v>
      </c>
      <c r="K57" s="15">
        <v>0</v>
      </c>
      <c r="L57" s="15">
        <v>0</v>
      </c>
      <c r="M57" s="15">
        <v>0</v>
      </c>
      <c r="N57" s="15">
        <v>0</v>
      </c>
      <c r="O57" s="15">
        <v>0</v>
      </c>
      <c r="P57" s="15">
        <f>SUM(J57:O57)</f>
        <v>1</v>
      </c>
      <c r="Q57" s="15">
        <v>0</v>
      </c>
      <c r="R57" s="15">
        <v>0</v>
      </c>
      <c r="S57" s="15">
        <v>0</v>
      </c>
      <c r="T57" s="15">
        <v>0</v>
      </c>
      <c r="U57" s="15">
        <v>0</v>
      </c>
      <c r="V57" s="18"/>
      <c r="W57" s="18"/>
      <c r="X57" s="30"/>
      <c r="Y57" s="30"/>
      <c r="Z57" s="30"/>
      <c r="AA57" s="30"/>
      <c r="AB57" s="34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</row>
    <row r="58" spans="1:28" s="30" customFormat="1" ht="20.25" customHeight="1">
      <c r="A58" s="32"/>
      <c r="B58" s="113"/>
      <c r="C58" s="21" t="s">
        <v>12</v>
      </c>
      <c r="D58" s="33"/>
      <c r="E58" s="23"/>
      <c r="F58" s="24">
        <f>SUM(F56:F57)</f>
        <v>1</v>
      </c>
      <c r="G58" s="24">
        <f>SUM(G56:G57)</f>
        <v>0</v>
      </c>
      <c r="H58" s="24">
        <f>SUM(H56:H57)</f>
        <v>0</v>
      </c>
      <c r="I58" s="25">
        <f>SUM(F58:H58)</f>
        <v>1</v>
      </c>
      <c r="J58" s="24">
        <f aca="true" t="shared" si="17" ref="J58:O58">SUM(J56:J57)</f>
        <v>1</v>
      </c>
      <c r="K58" s="24">
        <f t="shared" si="17"/>
        <v>0</v>
      </c>
      <c r="L58" s="24">
        <f t="shared" si="17"/>
        <v>0</v>
      </c>
      <c r="M58" s="24">
        <f t="shared" si="17"/>
        <v>0</v>
      </c>
      <c r="N58" s="24">
        <f t="shared" si="17"/>
        <v>0</v>
      </c>
      <c r="O58" s="24">
        <f t="shared" si="17"/>
        <v>0</v>
      </c>
      <c r="P58" s="24">
        <f t="shared" si="3"/>
        <v>1</v>
      </c>
      <c r="Q58" s="24">
        <f>SUM(Q56:Q57)</f>
        <v>0</v>
      </c>
      <c r="R58" s="24">
        <f>SUM(R56:R57)</f>
        <v>0</v>
      </c>
      <c r="S58" s="24">
        <f>SUM(S56:S57)</f>
        <v>0</v>
      </c>
      <c r="T58" s="24">
        <f>SUM(T56:T57)</f>
        <v>0</v>
      </c>
      <c r="U58" s="24">
        <f>SUM(U56:U57)</f>
        <v>0</v>
      </c>
      <c r="V58" s="26">
        <f>IF(I58-Q58=0,"",IF(D58="",(P58+S58)/(I58-Q58),IF(AND(D58&lt;&gt;"",(P58+S58)/(I58-Q58)&gt;=50%),(P58+S58)/(I58-Q58),"")))</f>
        <v>1</v>
      </c>
      <c r="W58" s="26">
        <f>IF(I58=O58,"",IF(V58="",0,(P58+Q58+S58-O58)/(I58-O58)))</f>
        <v>1</v>
      </c>
      <c r="AB58" s="34"/>
    </row>
    <row r="59" spans="1:28" s="30" customFormat="1" ht="22.5" customHeight="1">
      <c r="A59" s="32"/>
      <c r="B59" s="113" t="s">
        <v>41</v>
      </c>
      <c r="C59" s="14" t="s">
        <v>2</v>
      </c>
      <c r="D59" s="15"/>
      <c r="E59" s="16" t="s">
        <v>27</v>
      </c>
      <c r="F59" s="15"/>
      <c r="G59" s="15"/>
      <c r="H59" s="15"/>
      <c r="I59" s="17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8"/>
      <c r="W59" s="18"/>
      <c r="AB59" s="34"/>
    </row>
    <row r="60" spans="1:28" s="30" customFormat="1" ht="18" customHeight="1">
      <c r="A60" s="32">
        <v>38</v>
      </c>
      <c r="B60" s="113"/>
      <c r="C60" s="20" t="str">
        <f>IF(A60="","VARA",VLOOKUP(A60,'[1]varas'!$A$4:$B$67,2))</f>
        <v>1ª VT Olinda</v>
      </c>
      <c r="D60" s="15"/>
      <c r="E60" s="16"/>
      <c r="F60" s="15">
        <f>2</f>
        <v>2</v>
      </c>
      <c r="G60" s="15">
        <v>0</v>
      </c>
      <c r="H60" s="15">
        <v>0</v>
      </c>
      <c r="I60" s="17">
        <f>SUM(F60:H60)</f>
        <v>2</v>
      </c>
      <c r="J60" s="15">
        <v>0</v>
      </c>
      <c r="K60" s="15">
        <v>0</v>
      </c>
      <c r="L60" s="15">
        <v>0</v>
      </c>
      <c r="M60" s="15">
        <v>0</v>
      </c>
      <c r="N60" s="15">
        <v>0</v>
      </c>
      <c r="O60" s="15">
        <v>2</v>
      </c>
      <c r="P60" s="15">
        <f t="shared" si="3"/>
        <v>2</v>
      </c>
      <c r="Q60" s="15">
        <v>0</v>
      </c>
      <c r="R60" s="15">
        <v>0</v>
      </c>
      <c r="S60" s="15">
        <v>0</v>
      </c>
      <c r="T60" s="15">
        <v>0</v>
      </c>
      <c r="U60" s="15">
        <v>2</v>
      </c>
      <c r="V60" s="18"/>
      <c r="W60" s="18"/>
      <c r="AB60" s="34"/>
    </row>
    <row r="61" spans="1:28" s="30" customFormat="1" ht="18.75" customHeight="1">
      <c r="A61" s="32">
        <v>39</v>
      </c>
      <c r="B61" s="113"/>
      <c r="C61" s="20" t="str">
        <f>IF(A61="","VARA",VLOOKUP(A61,'[1]varas'!$A$4:$B$67,2))</f>
        <v>2ª VT Olinda</v>
      </c>
      <c r="D61" s="29"/>
      <c r="E61" s="16"/>
      <c r="F61" s="15">
        <f>19+23+11</f>
        <v>53</v>
      </c>
      <c r="G61" s="15">
        <v>11</v>
      </c>
      <c r="H61" s="15">
        <v>0</v>
      </c>
      <c r="I61" s="17">
        <f>SUM(F61:H61)</f>
        <v>64</v>
      </c>
      <c r="J61" s="15">
        <v>25</v>
      </c>
      <c r="K61" s="15">
        <v>5</v>
      </c>
      <c r="L61" s="15">
        <v>11</v>
      </c>
      <c r="M61" s="15">
        <v>0</v>
      </c>
      <c r="N61" s="15">
        <v>0</v>
      </c>
      <c r="O61" s="15">
        <v>23</v>
      </c>
      <c r="P61" s="15">
        <f t="shared" si="3"/>
        <v>64</v>
      </c>
      <c r="Q61" s="15">
        <v>0</v>
      </c>
      <c r="R61" s="15">
        <v>0</v>
      </c>
      <c r="S61" s="15">
        <v>0</v>
      </c>
      <c r="T61" s="15">
        <v>0</v>
      </c>
      <c r="U61" s="15">
        <v>86</v>
      </c>
      <c r="V61" s="18"/>
      <c r="W61" s="18"/>
      <c r="AB61" s="34"/>
    </row>
    <row r="62" spans="1:28" s="30" customFormat="1" ht="18.75" customHeight="1">
      <c r="A62" s="32">
        <v>40</v>
      </c>
      <c r="B62" s="113"/>
      <c r="C62" s="20" t="str">
        <f>IF(A62="","VARA",VLOOKUP(A62,'[1]varas'!$A$4:$B$67,2))</f>
        <v>3ª VT Olinda</v>
      </c>
      <c r="D62" s="15"/>
      <c r="E62" s="17"/>
      <c r="F62" s="15">
        <f>17+45+7+4</f>
        <v>73</v>
      </c>
      <c r="G62" s="15">
        <v>0</v>
      </c>
      <c r="H62" s="15">
        <v>0</v>
      </c>
      <c r="I62" s="17">
        <f>SUM(F62:H62)</f>
        <v>73</v>
      </c>
      <c r="J62" s="15">
        <v>7</v>
      </c>
      <c r="K62" s="15">
        <v>4</v>
      </c>
      <c r="L62" s="15">
        <v>7</v>
      </c>
      <c r="M62" s="15">
        <v>2</v>
      </c>
      <c r="N62" s="15">
        <v>2</v>
      </c>
      <c r="O62" s="15">
        <v>45</v>
      </c>
      <c r="P62" s="15">
        <f t="shared" si="3"/>
        <v>67</v>
      </c>
      <c r="Q62" s="15">
        <v>6</v>
      </c>
      <c r="R62" s="15">
        <v>0</v>
      </c>
      <c r="S62" s="15">
        <v>0</v>
      </c>
      <c r="T62" s="15">
        <v>0</v>
      </c>
      <c r="U62" s="15">
        <v>86</v>
      </c>
      <c r="V62" s="18"/>
      <c r="W62" s="18"/>
      <c r="AB62" s="34"/>
    </row>
    <row r="63" spans="1:28" s="49" customFormat="1" ht="19.5" customHeight="1">
      <c r="A63" s="47"/>
      <c r="B63" s="113"/>
      <c r="C63" s="20" t="s">
        <v>12</v>
      </c>
      <c r="D63" s="24"/>
      <c r="E63" s="48"/>
      <c r="F63" s="24">
        <f>SUM(F59:F62)</f>
        <v>128</v>
      </c>
      <c r="G63" s="24">
        <f>SUM(G59:G62)</f>
        <v>11</v>
      </c>
      <c r="H63" s="24">
        <f>SUM(H59:H62)</f>
        <v>0</v>
      </c>
      <c r="I63" s="40">
        <f>SUM(F63:H63)</f>
        <v>139</v>
      </c>
      <c r="J63" s="24">
        <f aca="true" t="shared" si="18" ref="J63:O63">SUM(J59:J62)</f>
        <v>32</v>
      </c>
      <c r="K63" s="24">
        <f t="shared" si="18"/>
        <v>9</v>
      </c>
      <c r="L63" s="24">
        <f t="shared" si="18"/>
        <v>18</v>
      </c>
      <c r="M63" s="24">
        <f t="shared" si="18"/>
        <v>2</v>
      </c>
      <c r="N63" s="24">
        <f t="shared" si="18"/>
        <v>2</v>
      </c>
      <c r="O63" s="24">
        <f t="shared" si="18"/>
        <v>70</v>
      </c>
      <c r="P63" s="24">
        <f t="shared" si="3"/>
        <v>133</v>
      </c>
      <c r="Q63" s="24">
        <f>SUM(Q59:Q62)</f>
        <v>6</v>
      </c>
      <c r="R63" s="24">
        <f>SUM(R59:R62)</f>
        <v>0</v>
      </c>
      <c r="S63" s="24">
        <f>SUM(S59:S62)</f>
        <v>0</v>
      </c>
      <c r="T63" s="24">
        <f>SUM(T59:T62)</f>
        <v>0</v>
      </c>
      <c r="U63" s="24">
        <f>SUM(U59:U62)</f>
        <v>174</v>
      </c>
      <c r="V63" s="26">
        <f>IF(I63-Q63=0,"",IF(D63="",(P63+S63)/(I63-Q63),IF(AND(D63&lt;&gt;"",(P63+S63)/(I63-Q63)&gt;=50%),(P63+S63)/(I63-Q63),"")))</f>
        <v>1</v>
      </c>
      <c r="W63" s="26">
        <f>IF(I63=O63,"",IF(V63="",0,(P63+Q63+S63-O63)/(I63-O63)))</f>
        <v>1</v>
      </c>
      <c r="AB63" s="50"/>
    </row>
    <row r="64" spans="1:28" s="30" customFormat="1" ht="21.75" customHeight="1">
      <c r="A64" s="32"/>
      <c r="B64" s="113" t="s">
        <v>42</v>
      </c>
      <c r="C64" s="14" t="s">
        <v>2</v>
      </c>
      <c r="D64" s="29"/>
      <c r="E64" s="16" t="s">
        <v>27</v>
      </c>
      <c r="F64" s="15"/>
      <c r="G64" s="15"/>
      <c r="H64" s="15"/>
      <c r="I64" s="17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8"/>
      <c r="W64" s="18"/>
      <c r="AB64" s="34"/>
    </row>
    <row r="65" spans="1:28" s="30" customFormat="1" ht="19.5" customHeight="1">
      <c r="A65" s="32">
        <v>32</v>
      </c>
      <c r="B65" s="113"/>
      <c r="C65" s="20" t="str">
        <f>IF(A65="","VARA",VLOOKUP(A65,'[1]varas'!$A$4:$B$67,2))</f>
        <v>1ª VT Ipojuca</v>
      </c>
      <c r="D65" s="29"/>
      <c r="E65" s="16"/>
      <c r="F65" s="15">
        <f>41+45+21</f>
        <v>107</v>
      </c>
      <c r="G65" s="15">
        <v>9</v>
      </c>
      <c r="H65" s="15">
        <v>0</v>
      </c>
      <c r="I65" s="17">
        <f>SUM(F65:H65)</f>
        <v>116</v>
      </c>
      <c r="J65" s="15">
        <v>18</v>
      </c>
      <c r="K65" s="15">
        <v>11</v>
      </c>
      <c r="L65" s="15">
        <v>21</v>
      </c>
      <c r="M65" s="15">
        <v>0</v>
      </c>
      <c r="N65" s="15">
        <v>0</v>
      </c>
      <c r="O65" s="15">
        <v>45</v>
      </c>
      <c r="P65" s="15">
        <f>SUM(J65:O65)</f>
        <v>95</v>
      </c>
      <c r="Q65" s="15">
        <v>21</v>
      </c>
      <c r="R65" s="15">
        <v>0</v>
      </c>
      <c r="S65" s="15">
        <v>0</v>
      </c>
      <c r="T65" s="15">
        <v>0</v>
      </c>
      <c r="U65" s="15">
        <v>144</v>
      </c>
      <c r="V65" s="18"/>
      <c r="W65" s="18"/>
      <c r="AB65" s="34"/>
    </row>
    <row r="66" spans="1:28" s="49" customFormat="1" ht="18" customHeight="1">
      <c r="A66" s="47"/>
      <c r="B66" s="113"/>
      <c r="C66" s="21" t="s">
        <v>12</v>
      </c>
      <c r="D66" s="51"/>
      <c r="E66" s="52"/>
      <c r="F66" s="24">
        <f>SUM(F64:F65)</f>
        <v>107</v>
      </c>
      <c r="G66" s="24">
        <f>SUM(G64:G65)</f>
        <v>9</v>
      </c>
      <c r="H66" s="24">
        <f>SUM(H64:H65)</f>
        <v>0</v>
      </c>
      <c r="I66" s="25">
        <f>SUM(F66:H66)</f>
        <v>116</v>
      </c>
      <c r="J66" s="24">
        <f aca="true" t="shared" si="19" ref="J66:O66">SUM(J64:J65)</f>
        <v>18</v>
      </c>
      <c r="K66" s="24">
        <f t="shared" si="19"/>
        <v>11</v>
      </c>
      <c r="L66" s="24">
        <f t="shared" si="19"/>
        <v>21</v>
      </c>
      <c r="M66" s="24">
        <f t="shared" si="19"/>
        <v>0</v>
      </c>
      <c r="N66" s="24">
        <f t="shared" si="19"/>
        <v>0</v>
      </c>
      <c r="O66" s="24">
        <f t="shared" si="19"/>
        <v>45</v>
      </c>
      <c r="P66" s="24">
        <f t="shared" si="3"/>
        <v>95</v>
      </c>
      <c r="Q66" s="24">
        <f>SUM(Q64:Q65)</f>
        <v>21</v>
      </c>
      <c r="R66" s="24">
        <f>SUM(R64:R65)</f>
        <v>0</v>
      </c>
      <c r="S66" s="24">
        <f>SUM(S64:S65)</f>
        <v>0</v>
      </c>
      <c r="T66" s="24">
        <f>SUM(T64:T65)</f>
        <v>0</v>
      </c>
      <c r="U66" s="24">
        <f>SUM(U64:U65)</f>
        <v>144</v>
      </c>
      <c r="V66" s="26">
        <f>IF(I66-Q66=0,"",IF(D66="",(P66+S66)/(I66-Q66),IF(AND(D66&lt;&gt;"",(P66+S66)/(I66-Q66)&gt;=50%),(P66+S66)/(I66-Q66),"")))</f>
        <v>1</v>
      </c>
      <c r="W66" s="26">
        <f>IF(I66=O66,"",IF(V66="",0,(P66+Q66+S66-O66)/(I66-O66)))</f>
        <v>1</v>
      </c>
      <c r="AB66" s="50"/>
    </row>
    <row r="67" spans="1:28" s="30" customFormat="1" ht="21.75" customHeight="1">
      <c r="A67" s="32"/>
      <c r="B67" s="113" t="s">
        <v>44</v>
      </c>
      <c r="C67" s="14" t="s">
        <v>2</v>
      </c>
      <c r="D67" s="29"/>
      <c r="E67" s="16" t="s">
        <v>27</v>
      </c>
      <c r="F67" s="15"/>
      <c r="G67" s="15"/>
      <c r="H67" s="15"/>
      <c r="I67" s="17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8"/>
      <c r="W67" s="18"/>
      <c r="AB67" s="34"/>
    </row>
    <row r="68" spans="1:28" s="30" customFormat="1" ht="21.75" customHeight="1">
      <c r="A68" s="32">
        <v>21</v>
      </c>
      <c r="B68" s="113"/>
      <c r="C68" s="20" t="str">
        <f>IF(A68="","VARA",VLOOKUP(A68,'[1]varas'!$A$4:$B$67,2))</f>
        <v>21ª VT Recife</v>
      </c>
      <c r="D68" s="15"/>
      <c r="E68" s="17"/>
      <c r="F68" s="15">
        <v>0</v>
      </c>
      <c r="G68" s="15">
        <v>2</v>
      </c>
      <c r="H68" s="15">
        <v>0</v>
      </c>
      <c r="I68" s="17">
        <f>SUM(F68:H68)</f>
        <v>2</v>
      </c>
      <c r="J68" s="15">
        <v>0</v>
      </c>
      <c r="K68" s="15">
        <v>0</v>
      </c>
      <c r="L68" s="15">
        <v>0</v>
      </c>
      <c r="M68" s="15">
        <v>0</v>
      </c>
      <c r="N68" s="15">
        <v>0</v>
      </c>
      <c r="O68" s="15">
        <v>0</v>
      </c>
      <c r="P68" s="15">
        <f>SUM(J68:O68)</f>
        <v>0</v>
      </c>
      <c r="Q68" s="15">
        <v>0</v>
      </c>
      <c r="R68" s="15">
        <v>2</v>
      </c>
      <c r="S68" s="15">
        <v>0</v>
      </c>
      <c r="T68" s="15">
        <v>0</v>
      </c>
      <c r="U68" s="15">
        <v>0</v>
      </c>
      <c r="V68" s="18"/>
      <c r="W68" s="18"/>
      <c r="AB68" s="34"/>
    </row>
    <row r="69" spans="1:28" s="30" customFormat="1" ht="21.75" customHeight="1">
      <c r="A69" s="32">
        <v>66</v>
      </c>
      <c r="B69" s="113"/>
      <c r="C69" s="20" t="s">
        <v>174</v>
      </c>
      <c r="D69" s="15"/>
      <c r="E69" s="17"/>
      <c r="F69" s="15">
        <v>12</v>
      </c>
      <c r="G69" s="15">
        <v>0</v>
      </c>
      <c r="H69" s="15">
        <v>0</v>
      </c>
      <c r="I69" s="17">
        <f>SUM(F69:H69)</f>
        <v>12</v>
      </c>
      <c r="J69" s="15">
        <v>3</v>
      </c>
      <c r="K69" s="15">
        <v>3</v>
      </c>
      <c r="L69" s="15">
        <v>0</v>
      </c>
      <c r="M69" s="15">
        <v>0</v>
      </c>
      <c r="N69" s="15">
        <v>0</v>
      </c>
      <c r="O69" s="15">
        <v>6</v>
      </c>
      <c r="P69" s="15">
        <f>SUM(J69:O69)</f>
        <v>12</v>
      </c>
      <c r="Q69" s="15">
        <v>0</v>
      </c>
      <c r="R69" s="15">
        <v>0</v>
      </c>
      <c r="S69" s="15">
        <v>0</v>
      </c>
      <c r="T69" s="15">
        <v>0</v>
      </c>
      <c r="U69" s="15">
        <v>17</v>
      </c>
      <c r="V69" s="18"/>
      <c r="W69" s="18"/>
      <c r="AB69" s="34"/>
    </row>
    <row r="70" spans="1:28" s="30" customFormat="1" ht="18.75" customHeight="1">
      <c r="A70" s="32">
        <v>30</v>
      </c>
      <c r="B70" s="113"/>
      <c r="C70" s="20" t="str">
        <f>IF(A70="","VARA",VLOOKUP(A70,'[1]varas'!$A$4:$B$67,2))</f>
        <v>3ª VT Caruaru</v>
      </c>
      <c r="D70" s="15"/>
      <c r="E70" s="17"/>
      <c r="F70" s="15">
        <v>0</v>
      </c>
      <c r="G70" s="15">
        <v>0</v>
      </c>
      <c r="H70" s="15">
        <v>1</v>
      </c>
      <c r="I70" s="17">
        <f>SUM(F70:H70)</f>
        <v>1</v>
      </c>
      <c r="J70" s="15">
        <v>0</v>
      </c>
      <c r="K70" s="15">
        <v>0</v>
      </c>
      <c r="L70" s="15">
        <v>0</v>
      </c>
      <c r="M70" s="15">
        <v>0</v>
      </c>
      <c r="N70" s="15">
        <v>0</v>
      </c>
      <c r="O70" s="15">
        <v>0</v>
      </c>
      <c r="P70" s="15">
        <f>SUM(J70:O70)</f>
        <v>0</v>
      </c>
      <c r="Q70" s="15">
        <v>0</v>
      </c>
      <c r="R70" s="15">
        <v>1</v>
      </c>
      <c r="S70" s="15">
        <v>0</v>
      </c>
      <c r="T70" s="15">
        <v>0</v>
      </c>
      <c r="U70" s="15">
        <v>0</v>
      </c>
      <c r="V70" s="18"/>
      <c r="W70" s="18"/>
      <c r="AB70" s="34"/>
    </row>
    <row r="71" spans="1:28" s="30" customFormat="1" ht="20.25" customHeight="1">
      <c r="A71" s="32">
        <v>51</v>
      </c>
      <c r="B71" s="113"/>
      <c r="C71" s="20" t="str">
        <f>IF(A71="","VARA",VLOOKUP(A71,'[1]varas'!$A$4:$B$67,2))</f>
        <v>VT Goiana</v>
      </c>
      <c r="D71" s="15"/>
      <c r="E71" s="17"/>
      <c r="F71" s="15">
        <f>22+74+2+11</f>
        <v>109</v>
      </c>
      <c r="G71" s="15">
        <v>13</v>
      </c>
      <c r="H71" s="15">
        <v>21</v>
      </c>
      <c r="I71" s="17">
        <f>SUM(F71:H71)</f>
        <v>143</v>
      </c>
      <c r="J71" s="15">
        <v>2</v>
      </c>
      <c r="K71" s="15">
        <v>11</v>
      </c>
      <c r="L71" s="15">
        <v>0</v>
      </c>
      <c r="M71" s="15">
        <v>0</v>
      </c>
      <c r="N71" s="15">
        <v>0</v>
      </c>
      <c r="O71" s="15">
        <v>74</v>
      </c>
      <c r="P71" s="15">
        <f>SUM(J71:O71)</f>
        <v>87</v>
      </c>
      <c r="Q71" s="15">
        <v>5</v>
      </c>
      <c r="R71" s="15">
        <v>51</v>
      </c>
      <c r="S71" s="15">
        <v>0</v>
      </c>
      <c r="T71" s="15">
        <v>0</v>
      </c>
      <c r="U71" s="15">
        <v>166</v>
      </c>
      <c r="V71" s="18"/>
      <c r="W71" s="18"/>
      <c r="AB71" s="34"/>
    </row>
    <row r="72" spans="1:28" s="49" customFormat="1" ht="18.75" customHeight="1">
      <c r="A72" s="47"/>
      <c r="B72" s="113"/>
      <c r="C72" s="20" t="s">
        <v>12</v>
      </c>
      <c r="D72" s="24"/>
      <c r="E72" s="48"/>
      <c r="F72" s="24">
        <f>SUM(F67:F71)</f>
        <v>121</v>
      </c>
      <c r="G72" s="24">
        <f>SUM(G67:G71)</f>
        <v>15</v>
      </c>
      <c r="H72" s="24">
        <f>SUM(H67:H71)</f>
        <v>22</v>
      </c>
      <c r="I72" s="40">
        <f>SUM(F72:H72)</f>
        <v>158</v>
      </c>
      <c r="J72" s="24">
        <f aca="true" t="shared" si="20" ref="J72:O72">SUM(J67:J71)</f>
        <v>5</v>
      </c>
      <c r="K72" s="24">
        <f t="shared" si="20"/>
        <v>14</v>
      </c>
      <c r="L72" s="24">
        <f t="shared" si="20"/>
        <v>0</v>
      </c>
      <c r="M72" s="24">
        <f t="shared" si="20"/>
        <v>0</v>
      </c>
      <c r="N72" s="24">
        <f t="shared" si="20"/>
        <v>0</v>
      </c>
      <c r="O72" s="24">
        <f t="shared" si="20"/>
        <v>80</v>
      </c>
      <c r="P72" s="24">
        <f>SUM(J72:O72)</f>
        <v>99</v>
      </c>
      <c r="Q72" s="24">
        <f>SUM(Q67:Q71)</f>
        <v>5</v>
      </c>
      <c r="R72" s="24">
        <f>SUM(R67:R71)</f>
        <v>54</v>
      </c>
      <c r="S72" s="24">
        <f>SUM(S67:S71)</f>
        <v>0</v>
      </c>
      <c r="T72" s="24">
        <f>SUM(T67:T71)</f>
        <v>0</v>
      </c>
      <c r="U72" s="24">
        <f>SUM(U67:U71)</f>
        <v>183</v>
      </c>
      <c r="V72" s="26">
        <f>IF(I72-Q72=0,"",IF(D72="",(P72+S72)/(I72-Q72),IF(AND(D72&lt;&gt;"",(P72+S72)/(I72-Q72)&gt;=50%),(P72+S72)/(I72-Q72),"")))</f>
        <v>0.6470588235294118</v>
      </c>
      <c r="W72" s="26">
        <f>IF(I72=O72,"",IF(V72="",0,(P72+Q72+S72-O72)/(I72-O72)))</f>
        <v>0.3076923076923077</v>
      </c>
      <c r="AB72" s="50"/>
    </row>
    <row r="73" spans="1:28" s="30" customFormat="1" ht="19.5" customHeight="1">
      <c r="A73" s="32"/>
      <c r="B73" s="113" t="s">
        <v>45</v>
      </c>
      <c r="C73" s="14" t="s">
        <v>2</v>
      </c>
      <c r="D73" s="29" t="s">
        <v>30</v>
      </c>
      <c r="E73" s="16" t="s">
        <v>202</v>
      </c>
      <c r="F73" s="15"/>
      <c r="G73" s="15"/>
      <c r="H73" s="15"/>
      <c r="I73" s="17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8"/>
      <c r="W73" s="18"/>
      <c r="AB73" s="34"/>
    </row>
    <row r="74" spans="1:28" s="30" customFormat="1" ht="18.75" customHeight="1">
      <c r="A74" s="32">
        <v>36</v>
      </c>
      <c r="B74" s="113"/>
      <c r="C74" s="20" t="str">
        <f>IF(A74="","VARA",VLOOKUP(A74,'[1]varas'!$A$4:$B$67,2))</f>
        <v>3ª VT Jaboatão</v>
      </c>
      <c r="D74" s="15"/>
      <c r="E74" s="16"/>
      <c r="F74" s="15">
        <f>40+15+8+3</f>
        <v>66</v>
      </c>
      <c r="G74" s="15">
        <v>12</v>
      </c>
      <c r="H74" s="15">
        <v>0</v>
      </c>
      <c r="I74" s="17">
        <f>SUM(F74:H74)</f>
        <v>78</v>
      </c>
      <c r="J74" s="15">
        <v>35</v>
      </c>
      <c r="K74" s="15">
        <v>17</v>
      </c>
      <c r="L74" s="15">
        <v>8</v>
      </c>
      <c r="M74" s="15">
        <v>3</v>
      </c>
      <c r="N74" s="15">
        <v>0</v>
      </c>
      <c r="O74" s="15">
        <v>15</v>
      </c>
      <c r="P74" s="15">
        <f>SUM(J74:O74)</f>
        <v>78</v>
      </c>
      <c r="Q74" s="15">
        <v>0</v>
      </c>
      <c r="R74" s="15">
        <v>0</v>
      </c>
      <c r="S74" s="15">
        <v>0</v>
      </c>
      <c r="T74" s="15">
        <v>0</v>
      </c>
      <c r="U74" s="15">
        <v>82</v>
      </c>
      <c r="V74" s="18"/>
      <c r="W74" s="18"/>
      <c r="AB74" s="34"/>
    </row>
    <row r="75" spans="1:41" s="53" customFormat="1" ht="18.75" customHeight="1">
      <c r="A75" s="47"/>
      <c r="B75" s="113"/>
      <c r="C75" s="21" t="s">
        <v>12</v>
      </c>
      <c r="D75" s="51"/>
      <c r="E75" s="52"/>
      <c r="F75" s="24">
        <f>SUM(F73:F74)</f>
        <v>66</v>
      </c>
      <c r="G75" s="24">
        <f>SUM(G73:G74)</f>
        <v>12</v>
      </c>
      <c r="H75" s="24">
        <f>SUM(H73:H74)</f>
        <v>0</v>
      </c>
      <c r="I75" s="25">
        <f>SUM(F75:H75)</f>
        <v>78</v>
      </c>
      <c r="J75" s="24">
        <f aca="true" t="shared" si="21" ref="J75:O75">SUM(J73:J74)</f>
        <v>35</v>
      </c>
      <c r="K75" s="24">
        <f t="shared" si="21"/>
        <v>17</v>
      </c>
      <c r="L75" s="24">
        <f t="shared" si="21"/>
        <v>8</v>
      </c>
      <c r="M75" s="24">
        <f t="shared" si="21"/>
        <v>3</v>
      </c>
      <c r="N75" s="24">
        <f t="shared" si="21"/>
        <v>0</v>
      </c>
      <c r="O75" s="24">
        <f t="shared" si="21"/>
        <v>15</v>
      </c>
      <c r="P75" s="24">
        <f>SUM(J75:O75)</f>
        <v>78</v>
      </c>
      <c r="Q75" s="24">
        <f>SUM(Q73:Q74)</f>
        <v>0</v>
      </c>
      <c r="R75" s="24">
        <f>SUM(R73:R74)</f>
        <v>0</v>
      </c>
      <c r="S75" s="24">
        <f>SUM(S73:S74)</f>
        <v>0</v>
      </c>
      <c r="T75" s="24">
        <f>SUM(T73:T74)</f>
        <v>0</v>
      </c>
      <c r="U75" s="24">
        <f>SUM(U73:U74)</f>
        <v>82</v>
      </c>
      <c r="V75" s="26">
        <f>IF(I75-Q75=0,"",IF(D75="",(P75+S75)/(I75-Q75),IF(AND(D75&lt;&gt;"",(P75+S75)/(I75-Q75)&gt;=50%),(P75+S75)/(I75-Q75),"")))</f>
        <v>1</v>
      </c>
      <c r="W75" s="26">
        <f>IF(I75=O75,"",IF(V75="",0,(P75+Q75+S75-O75)/(I75-O75)))</f>
        <v>1</v>
      </c>
      <c r="X75" s="49"/>
      <c r="Y75" s="49"/>
      <c r="Z75" s="49"/>
      <c r="AA75" s="49"/>
      <c r="AB75" s="50"/>
      <c r="AC75" s="49"/>
      <c r="AD75" s="49"/>
      <c r="AE75" s="49"/>
      <c r="AF75" s="49"/>
      <c r="AG75" s="49"/>
      <c r="AH75" s="49"/>
      <c r="AI75" s="49"/>
      <c r="AJ75" s="49"/>
      <c r="AK75" s="49"/>
      <c r="AL75" s="49"/>
      <c r="AM75" s="49"/>
      <c r="AN75" s="49"/>
      <c r="AO75" s="49"/>
    </row>
    <row r="76" spans="1:41" s="39" customFormat="1" ht="22.5" customHeight="1">
      <c r="A76" s="32"/>
      <c r="B76" s="107" t="s">
        <v>46</v>
      </c>
      <c r="C76" s="14" t="s">
        <v>2</v>
      </c>
      <c r="D76" s="29"/>
      <c r="E76" s="16" t="s">
        <v>27</v>
      </c>
      <c r="F76" s="15"/>
      <c r="G76" s="15"/>
      <c r="H76" s="15"/>
      <c r="I76" s="17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8"/>
      <c r="W76" s="18"/>
      <c r="X76" s="30"/>
      <c r="Y76" s="30"/>
      <c r="Z76" s="30"/>
      <c r="AA76" s="30"/>
      <c r="AB76" s="34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</row>
    <row r="77" spans="1:41" s="39" customFormat="1" ht="16.5" customHeight="1">
      <c r="A77" s="32">
        <v>26</v>
      </c>
      <c r="B77" s="107"/>
      <c r="C77" s="20" t="str">
        <f>IF(A77="","VARA",VLOOKUP(A77,'[1]varas'!$A$4:$B$67,2))</f>
        <v>1ª VT Cabo</v>
      </c>
      <c r="D77" s="15"/>
      <c r="E77" s="16"/>
      <c r="F77" s="15">
        <f>59+42+23+8</f>
        <v>132</v>
      </c>
      <c r="G77" s="15">
        <v>8</v>
      </c>
      <c r="H77" s="15">
        <v>0</v>
      </c>
      <c r="I77" s="17">
        <f>SUM(F77:H77)</f>
        <v>140</v>
      </c>
      <c r="J77" s="15">
        <v>40</v>
      </c>
      <c r="K77" s="15">
        <v>19</v>
      </c>
      <c r="L77" s="15">
        <v>23</v>
      </c>
      <c r="M77" s="15">
        <v>5</v>
      </c>
      <c r="N77" s="15">
        <v>3</v>
      </c>
      <c r="O77" s="15">
        <v>42</v>
      </c>
      <c r="P77" s="15">
        <f>SUM(J77:O77)</f>
        <v>132</v>
      </c>
      <c r="Q77" s="15">
        <v>8</v>
      </c>
      <c r="R77" s="15">
        <v>0</v>
      </c>
      <c r="S77" s="15">
        <v>0</v>
      </c>
      <c r="T77" s="15">
        <v>0</v>
      </c>
      <c r="U77" s="15">
        <v>218</v>
      </c>
      <c r="V77" s="18"/>
      <c r="W77" s="18"/>
      <c r="X77" s="30"/>
      <c r="Y77" s="30"/>
      <c r="Z77" s="30"/>
      <c r="AA77" s="30"/>
      <c r="AB77" s="34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</row>
    <row r="78" spans="1:41" s="53" customFormat="1" ht="19.5" customHeight="1">
      <c r="A78" s="47"/>
      <c r="B78" s="107"/>
      <c r="C78" s="21" t="s">
        <v>12</v>
      </c>
      <c r="D78" s="51"/>
      <c r="E78" s="52"/>
      <c r="F78" s="24">
        <f>SUM(F76:F77)</f>
        <v>132</v>
      </c>
      <c r="G78" s="24">
        <f>SUM(G76:G77)</f>
        <v>8</v>
      </c>
      <c r="H78" s="24">
        <f>SUM(H76:H77)</f>
        <v>0</v>
      </c>
      <c r="I78" s="25">
        <f>SUM(F78:H78)</f>
        <v>140</v>
      </c>
      <c r="J78" s="24">
        <f aca="true" t="shared" si="22" ref="J78:O78">SUM(J76:J77)</f>
        <v>40</v>
      </c>
      <c r="K78" s="24">
        <f t="shared" si="22"/>
        <v>19</v>
      </c>
      <c r="L78" s="24">
        <f t="shared" si="22"/>
        <v>23</v>
      </c>
      <c r="M78" s="24">
        <f t="shared" si="22"/>
        <v>5</v>
      </c>
      <c r="N78" s="24">
        <f t="shared" si="22"/>
        <v>3</v>
      </c>
      <c r="O78" s="24">
        <f t="shared" si="22"/>
        <v>42</v>
      </c>
      <c r="P78" s="24">
        <f>SUM(J78:O78)</f>
        <v>132</v>
      </c>
      <c r="Q78" s="24">
        <f>SUM(Q76:Q77)</f>
        <v>8</v>
      </c>
      <c r="R78" s="24">
        <f>SUM(R76:R77)</f>
        <v>0</v>
      </c>
      <c r="S78" s="24">
        <f>SUM(S76:S77)</f>
        <v>0</v>
      </c>
      <c r="T78" s="24">
        <f>SUM(T76:T77)</f>
        <v>0</v>
      </c>
      <c r="U78" s="24">
        <f>SUM(U76:U77)</f>
        <v>218</v>
      </c>
      <c r="V78" s="26">
        <f>IF(I78-Q78=0,"",IF(D78="",(P78+S78)/(I78-Q78),IF(AND(D78&lt;&gt;"",(P78+S78)/(I78-Q78)&gt;=50%),(P78+S78)/(I78-Q78),"")))</f>
        <v>1</v>
      </c>
      <c r="W78" s="26">
        <f>IF(I78=O78,"",IF(V78="",0,(P78+Q78+S78-O78)/(I78-O78)))</f>
        <v>1</v>
      </c>
      <c r="X78" s="49"/>
      <c r="Y78" s="49"/>
      <c r="Z78" s="49"/>
      <c r="AA78" s="49"/>
      <c r="AB78" s="50"/>
      <c r="AC78" s="49"/>
      <c r="AD78" s="49"/>
      <c r="AE78" s="49"/>
      <c r="AF78" s="49"/>
      <c r="AG78" s="49"/>
      <c r="AH78" s="49"/>
      <c r="AI78" s="49"/>
      <c r="AJ78" s="49"/>
      <c r="AK78" s="49"/>
      <c r="AL78" s="49"/>
      <c r="AM78" s="49"/>
      <c r="AN78" s="49"/>
      <c r="AO78" s="49"/>
    </row>
    <row r="79" spans="1:41" s="39" customFormat="1" ht="18" customHeight="1">
      <c r="A79" s="32"/>
      <c r="B79" s="107" t="s">
        <v>47</v>
      </c>
      <c r="C79" s="14" t="s">
        <v>2</v>
      </c>
      <c r="D79" s="29"/>
      <c r="E79" s="16" t="s">
        <v>27</v>
      </c>
      <c r="F79" s="15"/>
      <c r="G79" s="15"/>
      <c r="H79" s="15"/>
      <c r="I79" s="17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8"/>
      <c r="W79" s="18"/>
      <c r="X79" s="30"/>
      <c r="Y79" s="30"/>
      <c r="Z79" s="30"/>
      <c r="AA79" s="30"/>
      <c r="AB79" s="34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</row>
    <row r="80" spans="1:41" s="39" customFormat="1" ht="18" customHeight="1">
      <c r="A80" s="32">
        <v>25</v>
      </c>
      <c r="B80" s="107"/>
      <c r="C80" s="20" t="str">
        <f>IF(A80="","VARA",VLOOKUP(A80,'[1]varas'!$A$4:$B$67,2))</f>
        <v>2ª VT Barreiros</v>
      </c>
      <c r="D80" s="29"/>
      <c r="E80" s="16"/>
      <c r="F80" s="15">
        <v>68</v>
      </c>
      <c r="G80" s="15">
        <v>0</v>
      </c>
      <c r="H80" s="15">
        <v>0</v>
      </c>
      <c r="I80" s="17">
        <f>SUM(F80:H80)</f>
        <v>68</v>
      </c>
      <c r="J80" s="15">
        <v>12</v>
      </c>
      <c r="K80" s="15">
        <v>1</v>
      </c>
      <c r="L80" s="15">
        <v>0</v>
      </c>
      <c r="M80" s="15">
        <v>0</v>
      </c>
      <c r="N80" s="15">
        <v>0</v>
      </c>
      <c r="O80" s="15">
        <v>48</v>
      </c>
      <c r="P80" s="15">
        <f>SUM(J80:O80)</f>
        <v>61</v>
      </c>
      <c r="Q80" s="15">
        <v>7</v>
      </c>
      <c r="R80" s="15">
        <v>0</v>
      </c>
      <c r="S80" s="15">
        <v>0</v>
      </c>
      <c r="T80" s="15">
        <v>0</v>
      </c>
      <c r="U80" s="15">
        <v>156</v>
      </c>
      <c r="V80" s="18"/>
      <c r="W80" s="18"/>
      <c r="X80" s="30"/>
      <c r="Y80" s="30"/>
      <c r="Z80" s="30"/>
      <c r="AA80" s="30"/>
      <c r="AB80" s="34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</row>
    <row r="81" spans="1:41" s="39" customFormat="1" ht="18.75" customHeight="1">
      <c r="A81" s="32">
        <v>48</v>
      </c>
      <c r="B81" s="107"/>
      <c r="C81" s="20" t="str">
        <f>IF(A81="","VARA",VLOOKUP(A81,'[1]varas'!$A$4:$B$67,2))</f>
        <v>VT Catende</v>
      </c>
      <c r="D81" s="29"/>
      <c r="E81" s="16"/>
      <c r="F81" s="15">
        <f>105+136+0</f>
        <v>241</v>
      </c>
      <c r="G81" s="15">
        <v>0</v>
      </c>
      <c r="H81" s="15">
        <v>0</v>
      </c>
      <c r="I81" s="17">
        <f>SUM(F81:H81)</f>
        <v>241</v>
      </c>
      <c r="J81" s="15">
        <v>86</v>
      </c>
      <c r="K81" s="15">
        <v>3</v>
      </c>
      <c r="L81" s="15">
        <v>0</v>
      </c>
      <c r="M81" s="15">
        <v>0</v>
      </c>
      <c r="N81" s="15">
        <v>0</v>
      </c>
      <c r="O81" s="15">
        <v>136</v>
      </c>
      <c r="P81" s="15">
        <f>SUM(J81:O81)</f>
        <v>225</v>
      </c>
      <c r="Q81" s="15">
        <v>0</v>
      </c>
      <c r="R81" s="15">
        <v>16</v>
      </c>
      <c r="S81" s="15">
        <v>0</v>
      </c>
      <c r="T81" s="15">
        <v>0</v>
      </c>
      <c r="U81" s="15">
        <v>369</v>
      </c>
      <c r="V81" s="18"/>
      <c r="W81" s="18"/>
      <c r="X81" s="30"/>
      <c r="Y81" s="30"/>
      <c r="Z81" s="30"/>
      <c r="AA81" s="30"/>
      <c r="AB81" s="34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</row>
    <row r="82" spans="1:41" s="53" customFormat="1" ht="18" customHeight="1">
      <c r="A82" s="47"/>
      <c r="B82" s="107"/>
      <c r="C82" s="21" t="s">
        <v>12</v>
      </c>
      <c r="D82" s="51"/>
      <c r="E82" s="52"/>
      <c r="F82" s="24">
        <f>SUM(F79:F81)</f>
        <v>309</v>
      </c>
      <c r="G82" s="24">
        <f>SUM(G79:G81)</f>
        <v>0</v>
      </c>
      <c r="H82" s="24">
        <f>SUM(H79:H81)</f>
        <v>0</v>
      </c>
      <c r="I82" s="25">
        <f>SUM(F82:H82)</f>
        <v>309</v>
      </c>
      <c r="J82" s="24">
        <f aca="true" t="shared" si="23" ref="J82:O82">SUM(J79:J81)</f>
        <v>98</v>
      </c>
      <c r="K82" s="24">
        <f t="shared" si="23"/>
        <v>4</v>
      </c>
      <c r="L82" s="24">
        <f t="shared" si="23"/>
        <v>0</v>
      </c>
      <c r="M82" s="24">
        <f t="shared" si="23"/>
        <v>0</v>
      </c>
      <c r="N82" s="24">
        <f t="shared" si="23"/>
        <v>0</v>
      </c>
      <c r="O82" s="24">
        <f t="shared" si="23"/>
        <v>184</v>
      </c>
      <c r="P82" s="24">
        <f>SUM(J82:O82)</f>
        <v>286</v>
      </c>
      <c r="Q82" s="24">
        <f>SUM(Q79:Q81)</f>
        <v>7</v>
      </c>
      <c r="R82" s="24">
        <f>SUM(R79:R81)</f>
        <v>16</v>
      </c>
      <c r="S82" s="24">
        <f>SUM(S79:S81)</f>
        <v>0</v>
      </c>
      <c r="T82" s="24">
        <f>SUM(T79:T81)</f>
        <v>0</v>
      </c>
      <c r="U82" s="24">
        <f>SUM(U79:U81)</f>
        <v>525</v>
      </c>
      <c r="V82" s="26">
        <f>IF(I82-Q82=0,"",IF(D82="",(P82+S82)/(I82-Q82),IF(AND(D82&lt;&gt;"",(P82+S82)/(I82-Q82)&gt;=50%),(P82+S82)/(I82-Q82),"")))</f>
        <v>0.9470198675496688</v>
      </c>
      <c r="W82" s="26">
        <f>IF(I82=O82,"",IF(V82="",0,(P82+Q82+S82-O82)/(I82-O82)))</f>
        <v>0.872</v>
      </c>
      <c r="X82" s="49"/>
      <c r="Y82" s="49"/>
      <c r="Z82" s="49"/>
      <c r="AA82" s="49"/>
      <c r="AB82" s="50"/>
      <c r="AC82" s="49"/>
      <c r="AD82" s="49"/>
      <c r="AE82" s="49"/>
      <c r="AF82" s="49"/>
      <c r="AG82" s="49"/>
      <c r="AH82" s="49"/>
      <c r="AI82" s="49"/>
      <c r="AJ82" s="49"/>
      <c r="AK82" s="49"/>
      <c r="AL82" s="49"/>
      <c r="AM82" s="49"/>
      <c r="AN82" s="49"/>
      <c r="AO82" s="49"/>
    </row>
    <row r="83" spans="1:41" s="39" customFormat="1" ht="18.75" customHeight="1">
      <c r="A83" s="32"/>
      <c r="B83" s="107" t="s">
        <v>48</v>
      </c>
      <c r="C83" s="14" t="s">
        <v>161</v>
      </c>
      <c r="D83" s="29"/>
      <c r="E83" s="16" t="s">
        <v>27</v>
      </c>
      <c r="F83" s="15"/>
      <c r="G83" s="15"/>
      <c r="H83" s="15"/>
      <c r="I83" s="17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8"/>
      <c r="W83" s="18"/>
      <c r="X83" s="30"/>
      <c r="Y83" s="30"/>
      <c r="Z83" s="30"/>
      <c r="AA83" s="30"/>
      <c r="AB83" s="34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</row>
    <row r="84" spans="1:41" s="39" customFormat="1" ht="21" customHeight="1">
      <c r="A84" s="32">
        <v>14</v>
      </c>
      <c r="B84" s="107"/>
      <c r="C84" s="20" t="str">
        <f>IF(A84="","VARA",VLOOKUP(A84,'[1]varas'!$A$4:$B$67,2))</f>
        <v>14ª VT Recife</v>
      </c>
      <c r="D84" s="29"/>
      <c r="E84" s="16"/>
      <c r="F84" s="15">
        <f>9+5</f>
        <v>14</v>
      </c>
      <c r="G84" s="15">
        <v>0</v>
      </c>
      <c r="H84" s="15">
        <v>0</v>
      </c>
      <c r="I84" s="17">
        <f aca="true" t="shared" si="24" ref="I84:I90">SUM(F84:H84)</f>
        <v>14</v>
      </c>
      <c r="J84" s="15">
        <v>0</v>
      </c>
      <c r="K84" s="15">
        <v>0</v>
      </c>
      <c r="L84" s="15">
        <v>1</v>
      </c>
      <c r="M84" s="15">
        <v>0</v>
      </c>
      <c r="N84" s="15">
        <v>0</v>
      </c>
      <c r="O84" s="15">
        <v>4</v>
      </c>
      <c r="P84" s="15">
        <f aca="true" t="shared" si="25" ref="P84:P90">SUM(J84:O84)</f>
        <v>5</v>
      </c>
      <c r="Q84" s="15">
        <v>9</v>
      </c>
      <c r="R84" s="15">
        <v>0</v>
      </c>
      <c r="S84" s="15">
        <v>0</v>
      </c>
      <c r="T84" s="15">
        <v>0</v>
      </c>
      <c r="U84" s="15">
        <v>33</v>
      </c>
      <c r="V84" s="18"/>
      <c r="W84" s="18"/>
      <c r="X84" s="30"/>
      <c r="Y84" s="30"/>
      <c r="Z84" s="30"/>
      <c r="AA84" s="30"/>
      <c r="AB84" s="34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</row>
    <row r="85" spans="1:41" s="39" customFormat="1" ht="21" customHeight="1">
      <c r="A85" s="32">
        <v>18</v>
      </c>
      <c r="B85" s="107"/>
      <c r="C85" s="20" t="str">
        <f>IF(A85="","VARA",VLOOKUP(A85,'[1]varas'!$A$4:$B$67,2))</f>
        <v>18ª VT Recife</v>
      </c>
      <c r="D85" s="29"/>
      <c r="E85" s="16"/>
      <c r="F85" s="15">
        <f>42+22+3</f>
        <v>67</v>
      </c>
      <c r="G85" s="15">
        <v>0</v>
      </c>
      <c r="H85" s="15">
        <v>7</v>
      </c>
      <c r="I85" s="17">
        <f>SUM(F85:H85)</f>
        <v>74</v>
      </c>
      <c r="J85" s="15">
        <v>28</v>
      </c>
      <c r="K85" s="15">
        <v>11</v>
      </c>
      <c r="L85" s="15">
        <v>3</v>
      </c>
      <c r="M85" s="15">
        <v>0</v>
      </c>
      <c r="N85" s="15">
        <v>0</v>
      </c>
      <c r="O85" s="15">
        <v>22</v>
      </c>
      <c r="P85" s="15">
        <f>SUM(J85:O85)</f>
        <v>64</v>
      </c>
      <c r="Q85" s="15">
        <v>0</v>
      </c>
      <c r="R85" s="15">
        <v>10</v>
      </c>
      <c r="S85" s="15">
        <v>0</v>
      </c>
      <c r="T85" s="15">
        <v>0</v>
      </c>
      <c r="U85" s="15">
        <v>150</v>
      </c>
      <c r="V85" s="18"/>
      <c r="W85" s="18"/>
      <c r="X85" s="30"/>
      <c r="Y85" s="30"/>
      <c r="Z85" s="30"/>
      <c r="AA85" s="30"/>
      <c r="AB85" s="34"/>
      <c r="AC85" s="30"/>
      <c r="AD85" s="30"/>
      <c r="AE85" s="30"/>
      <c r="AF85" s="30"/>
      <c r="AG85" s="30"/>
      <c r="AH85" s="30"/>
      <c r="AI85" s="30"/>
      <c r="AJ85" s="30"/>
      <c r="AK85" s="30"/>
      <c r="AL85" s="30"/>
      <c r="AM85" s="30"/>
      <c r="AN85" s="30"/>
      <c r="AO85" s="30"/>
    </row>
    <row r="86" spans="1:41" s="39" customFormat="1" ht="17.25" customHeight="1">
      <c r="A86" s="32">
        <v>19</v>
      </c>
      <c r="B86" s="107"/>
      <c r="C86" s="20" t="str">
        <f>IF(A86="","VARA",VLOOKUP(A86,'[1]varas'!$A$4:$B$67,2))</f>
        <v>19ª VT Recife</v>
      </c>
      <c r="D86" s="29"/>
      <c r="E86" s="16"/>
      <c r="F86" s="15">
        <f>8+5+5</f>
        <v>18</v>
      </c>
      <c r="G86" s="15">
        <v>0</v>
      </c>
      <c r="H86" s="15">
        <v>0</v>
      </c>
      <c r="I86" s="17">
        <f t="shared" si="24"/>
        <v>18</v>
      </c>
      <c r="J86" s="15">
        <v>0</v>
      </c>
      <c r="K86" s="15">
        <v>1</v>
      </c>
      <c r="L86" s="15">
        <v>3</v>
      </c>
      <c r="M86" s="15">
        <v>1</v>
      </c>
      <c r="N86" s="15">
        <v>1</v>
      </c>
      <c r="O86" s="15">
        <v>5</v>
      </c>
      <c r="P86" s="15">
        <f t="shared" si="25"/>
        <v>11</v>
      </c>
      <c r="Q86" s="15">
        <v>0</v>
      </c>
      <c r="R86" s="15">
        <v>7</v>
      </c>
      <c r="S86" s="15">
        <v>0</v>
      </c>
      <c r="T86" s="15">
        <v>0</v>
      </c>
      <c r="U86" s="15">
        <v>16</v>
      </c>
      <c r="V86" s="18"/>
      <c r="W86" s="18"/>
      <c r="X86" s="30"/>
      <c r="Y86" s="30"/>
      <c r="Z86" s="30"/>
      <c r="AA86" s="30"/>
      <c r="AB86" s="34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</row>
    <row r="87" spans="1:41" s="39" customFormat="1" ht="20.25" customHeight="1">
      <c r="A87" s="32">
        <v>32</v>
      </c>
      <c r="B87" s="107"/>
      <c r="C87" s="20" t="str">
        <f>IF(A87="","VARA",VLOOKUP(A87,'[1]varas'!$A$4:$B$67,2))</f>
        <v>1ª VT Ipojuca</v>
      </c>
      <c r="D87" s="15"/>
      <c r="E87" s="16"/>
      <c r="F87" s="15">
        <v>0</v>
      </c>
      <c r="G87" s="15">
        <v>0</v>
      </c>
      <c r="H87" s="15">
        <v>1</v>
      </c>
      <c r="I87" s="17">
        <f t="shared" si="24"/>
        <v>1</v>
      </c>
      <c r="J87" s="15">
        <v>1</v>
      </c>
      <c r="K87" s="15">
        <v>0</v>
      </c>
      <c r="L87" s="15">
        <v>0</v>
      </c>
      <c r="M87" s="15">
        <v>0</v>
      </c>
      <c r="N87" s="15">
        <v>0</v>
      </c>
      <c r="O87" s="15">
        <v>0</v>
      </c>
      <c r="P87" s="15">
        <f t="shared" si="25"/>
        <v>1</v>
      </c>
      <c r="Q87" s="15">
        <v>0</v>
      </c>
      <c r="R87" s="15">
        <v>0</v>
      </c>
      <c r="S87" s="15">
        <v>0</v>
      </c>
      <c r="T87" s="15">
        <v>0</v>
      </c>
      <c r="U87" s="15">
        <v>0</v>
      </c>
      <c r="V87" s="18"/>
      <c r="W87" s="18"/>
      <c r="X87" s="30"/>
      <c r="Y87" s="30"/>
      <c r="Z87" s="30"/>
      <c r="AA87" s="30"/>
      <c r="AB87" s="34"/>
      <c r="AC87" s="30"/>
      <c r="AD87" s="30"/>
      <c r="AE87" s="30"/>
      <c r="AF87" s="30"/>
      <c r="AG87" s="30"/>
      <c r="AH87" s="30"/>
      <c r="AI87" s="30"/>
      <c r="AJ87" s="30"/>
      <c r="AK87" s="30"/>
      <c r="AL87" s="30"/>
      <c r="AM87" s="30"/>
      <c r="AN87" s="30"/>
      <c r="AO87" s="30"/>
    </row>
    <row r="88" spans="1:41" s="39" customFormat="1" ht="20.25" customHeight="1">
      <c r="A88" s="32">
        <v>38</v>
      </c>
      <c r="B88" s="107"/>
      <c r="C88" s="20" t="str">
        <f>IF(A88="","VARA",VLOOKUP(A88,'[1]varas'!$A$4:$B$67,2))</f>
        <v>1ª VT Olinda</v>
      </c>
      <c r="D88" s="15"/>
      <c r="E88" s="16"/>
      <c r="F88" s="15">
        <v>0</v>
      </c>
      <c r="G88" s="15">
        <v>1</v>
      </c>
      <c r="H88" s="15">
        <v>0</v>
      </c>
      <c r="I88" s="17">
        <f t="shared" si="24"/>
        <v>1</v>
      </c>
      <c r="J88" s="15">
        <v>1</v>
      </c>
      <c r="K88" s="15">
        <v>0</v>
      </c>
      <c r="L88" s="15">
        <v>0</v>
      </c>
      <c r="M88" s="15">
        <v>0</v>
      </c>
      <c r="N88" s="15">
        <v>0</v>
      </c>
      <c r="O88" s="15">
        <v>0</v>
      </c>
      <c r="P88" s="15">
        <f t="shared" si="25"/>
        <v>1</v>
      </c>
      <c r="Q88" s="15">
        <v>0</v>
      </c>
      <c r="R88" s="15">
        <v>0</v>
      </c>
      <c r="S88" s="15">
        <v>0</v>
      </c>
      <c r="T88" s="15">
        <v>0</v>
      </c>
      <c r="U88" s="15">
        <v>0</v>
      </c>
      <c r="V88" s="18"/>
      <c r="W88" s="18"/>
      <c r="X88" s="30"/>
      <c r="Y88" s="30"/>
      <c r="Z88" s="30"/>
      <c r="AA88" s="30"/>
      <c r="AB88" s="34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/>
    </row>
    <row r="89" spans="1:41" s="39" customFormat="1" ht="18" customHeight="1">
      <c r="A89" s="32">
        <v>57</v>
      </c>
      <c r="B89" s="107"/>
      <c r="C89" s="20" t="str">
        <f>IF(A89="","VARA",VLOOKUP(A89,'[1]varas'!$A$4:$B$67,2))</f>
        <v>VT S. Lourenço </v>
      </c>
      <c r="D89" s="15"/>
      <c r="E89" s="16"/>
      <c r="F89" s="15">
        <v>2</v>
      </c>
      <c r="G89" s="15">
        <v>0</v>
      </c>
      <c r="H89" s="15">
        <v>0</v>
      </c>
      <c r="I89" s="17">
        <f t="shared" si="24"/>
        <v>2</v>
      </c>
      <c r="J89" s="15">
        <v>0</v>
      </c>
      <c r="K89" s="15">
        <v>0</v>
      </c>
      <c r="L89" s="15">
        <v>0</v>
      </c>
      <c r="M89" s="15">
        <v>0</v>
      </c>
      <c r="N89" s="15">
        <v>0</v>
      </c>
      <c r="O89" s="15">
        <v>0</v>
      </c>
      <c r="P89" s="15">
        <f t="shared" si="25"/>
        <v>0</v>
      </c>
      <c r="Q89" s="15">
        <v>0</v>
      </c>
      <c r="R89" s="15">
        <v>2</v>
      </c>
      <c r="S89" s="15">
        <v>0</v>
      </c>
      <c r="T89" s="15">
        <v>0</v>
      </c>
      <c r="U89" s="15">
        <v>0</v>
      </c>
      <c r="V89" s="18"/>
      <c r="W89" s="18"/>
      <c r="X89" s="30"/>
      <c r="Y89" s="30"/>
      <c r="Z89" s="30"/>
      <c r="AA89" s="30"/>
      <c r="AB89" s="34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</row>
    <row r="90" spans="1:41" s="53" customFormat="1" ht="18" customHeight="1">
      <c r="A90" s="47"/>
      <c r="B90" s="107"/>
      <c r="C90" s="20" t="s">
        <v>12</v>
      </c>
      <c r="D90" s="24"/>
      <c r="E90" s="48"/>
      <c r="F90" s="24">
        <f>SUM(F83:F89)</f>
        <v>101</v>
      </c>
      <c r="G90" s="24">
        <f>SUM(G83:G89)</f>
        <v>1</v>
      </c>
      <c r="H90" s="24">
        <f>SUM(H83:H89)</f>
        <v>8</v>
      </c>
      <c r="I90" s="40">
        <f t="shared" si="24"/>
        <v>110</v>
      </c>
      <c r="J90" s="24">
        <f aca="true" t="shared" si="26" ref="J90:O90">SUM(J83:J89)</f>
        <v>30</v>
      </c>
      <c r="K90" s="24">
        <f t="shared" si="26"/>
        <v>12</v>
      </c>
      <c r="L90" s="24">
        <f t="shared" si="26"/>
        <v>7</v>
      </c>
      <c r="M90" s="24">
        <f t="shared" si="26"/>
        <v>1</v>
      </c>
      <c r="N90" s="24">
        <f t="shared" si="26"/>
        <v>1</v>
      </c>
      <c r="O90" s="24">
        <f t="shared" si="26"/>
        <v>31</v>
      </c>
      <c r="P90" s="24">
        <f t="shared" si="25"/>
        <v>82</v>
      </c>
      <c r="Q90" s="24">
        <f>SUM(Q83:Q89)</f>
        <v>9</v>
      </c>
      <c r="R90" s="24">
        <f>SUM(R83:R89)</f>
        <v>19</v>
      </c>
      <c r="S90" s="24">
        <f>SUM(S83:S89)</f>
        <v>0</v>
      </c>
      <c r="T90" s="24">
        <f>SUM(T83:T89)</f>
        <v>0</v>
      </c>
      <c r="U90" s="24">
        <f>SUM(U83:U89)</f>
        <v>199</v>
      </c>
      <c r="V90" s="26">
        <f>IF(I90-Q90=0,"",IF(D90="",(P90+S90)/(I90-Q90),IF(AND(D90&lt;&gt;"",(P90+S90)/(I90-Q90)&gt;=50%),(P90+S90)/(I90-Q90),"")))</f>
        <v>0.8118811881188119</v>
      </c>
      <c r="W90" s="26">
        <f>IF(I90=O90,"",IF(V90="",0,(P90+Q90+S90-O90)/(I90-O90)))</f>
        <v>0.759493670886076</v>
      </c>
      <c r="X90" s="49"/>
      <c r="Y90" s="49"/>
      <c r="Z90" s="49"/>
      <c r="AA90" s="49"/>
      <c r="AB90" s="50"/>
      <c r="AC90" s="49"/>
      <c r="AD90" s="49"/>
      <c r="AE90" s="49"/>
      <c r="AF90" s="49"/>
      <c r="AG90" s="49"/>
      <c r="AH90" s="49"/>
      <c r="AI90" s="49"/>
      <c r="AJ90" s="49"/>
      <c r="AK90" s="49"/>
      <c r="AL90" s="49"/>
      <c r="AM90" s="49"/>
      <c r="AN90" s="49"/>
      <c r="AO90" s="49"/>
    </row>
    <row r="91" spans="1:41" s="39" customFormat="1" ht="19.5" customHeight="1">
      <c r="A91" s="32"/>
      <c r="B91" s="107" t="s">
        <v>49</v>
      </c>
      <c r="C91" s="14" t="s">
        <v>2</v>
      </c>
      <c r="D91" s="29" t="s">
        <v>169</v>
      </c>
      <c r="E91" s="16" t="s">
        <v>203</v>
      </c>
      <c r="F91" s="15"/>
      <c r="G91" s="15"/>
      <c r="H91" s="15"/>
      <c r="I91" s="17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8"/>
      <c r="W91" s="18"/>
      <c r="X91" s="30"/>
      <c r="Y91" s="30"/>
      <c r="Z91" s="30"/>
      <c r="AA91" s="30"/>
      <c r="AB91" s="34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</row>
    <row r="92" spans="1:41" s="39" customFormat="1" ht="21" customHeight="1">
      <c r="A92" s="32">
        <v>45</v>
      </c>
      <c r="B92" s="107"/>
      <c r="C92" s="20" t="str">
        <f>IF(A92="","VARA",VLOOKUP(A92,'[1]varas'!$A$4:$B$67,2))</f>
        <v>VT Araripina</v>
      </c>
      <c r="D92" s="15"/>
      <c r="E92" s="16"/>
      <c r="F92" s="15">
        <f>80+38+2</f>
        <v>120</v>
      </c>
      <c r="G92" s="15">
        <v>4</v>
      </c>
      <c r="H92" s="15">
        <v>30</v>
      </c>
      <c r="I92" s="17">
        <f>SUM(F92:H92)</f>
        <v>154</v>
      </c>
      <c r="J92" s="15">
        <v>43</v>
      </c>
      <c r="K92" s="15">
        <v>15</v>
      </c>
      <c r="L92" s="15">
        <v>0</v>
      </c>
      <c r="M92" s="15">
        <v>0</v>
      </c>
      <c r="N92" s="15">
        <v>2</v>
      </c>
      <c r="O92" s="15">
        <v>38</v>
      </c>
      <c r="P92" s="15">
        <f>SUM(J92:O92)</f>
        <v>98</v>
      </c>
      <c r="Q92" s="15">
        <v>0</v>
      </c>
      <c r="R92" s="15">
        <v>56</v>
      </c>
      <c r="S92" s="15">
        <v>0</v>
      </c>
      <c r="T92" s="15">
        <v>0</v>
      </c>
      <c r="U92" s="15">
        <v>234</v>
      </c>
      <c r="V92" s="18"/>
      <c r="W92" s="18"/>
      <c r="X92" s="30"/>
      <c r="Y92" s="30"/>
      <c r="Z92" s="30"/>
      <c r="AA92" s="30"/>
      <c r="AB92" s="34"/>
      <c r="AC92" s="30"/>
      <c r="AD92" s="30"/>
      <c r="AE92" s="30"/>
      <c r="AF92" s="30"/>
      <c r="AG92" s="30"/>
      <c r="AH92" s="30"/>
      <c r="AI92" s="30"/>
      <c r="AJ92" s="30"/>
      <c r="AK92" s="30"/>
      <c r="AL92" s="30"/>
      <c r="AM92" s="30"/>
      <c r="AN92" s="30"/>
      <c r="AO92" s="30"/>
    </row>
    <row r="93" spans="1:41" s="53" customFormat="1" ht="18" customHeight="1">
      <c r="A93" s="47"/>
      <c r="B93" s="107"/>
      <c r="C93" s="21" t="s">
        <v>12</v>
      </c>
      <c r="D93" s="51"/>
      <c r="E93" s="52"/>
      <c r="F93" s="24">
        <f>SUM(F91:F92)</f>
        <v>120</v>
      </c>
      <c r="G93" s="24">
        <f>SUM(G91:G92)</f>
        <v>4</v>
      </c>
      <c r="H93" s="24">
        <f>SUM(H91:H92)</f>
        <v>30</v>
      </c>
      <c r="I93" s="25">
        <f>SUM(F93:H93)</f>
        <v>154</v>
      </c>
      <c r="J93" s="24">
        <f aca="true" t="shared" si="27" ref="J93:O93">SUM(J91:J92)</f>
        <v>43</v>
      </c>
      <c r="K93" s="24">
        <f t="shared" si="27"/>
        <v>15</v>
      </c>
      <c r="L93" s="24">
        <f t="shared" si="27"/>
        <v>0</v>
      </c>
      <c r="M93" s="24">
        <f t="shared" si="27"/>
        <v>0</v>
      </c>
      <c r="N93" s="24">
        <f t="shared" si="27"/>
        <v>2</v>
      </c>
      <c r="O93" s="24">
        <f t="shared" si="27"/>
        <v>38</v>
      </c>
      <c r="P93" s="24">
        <f>SUM(J93:O93)</f>
        <v>98</v>
      </c>
      <c r="Q93" s="24">
        <f>SUM(Q91:Q92)</f>
        <v>0</v>
      </c>
      <c r="R93" s="24">
        <f>SUM(R91:R92)</f>
        <v>56</v>
      </c>
      <c r="S93" s="24">
        <f>SUM(S91:S92)</f>
        <v>0</v>
      </c>
      <c r="T93" s="24">
        <f>SUM(T91:T92)</f>
        <v>0</v>
      </c>
      <c r="U93" s="24">
        <f>SUM(U91:U92)</f>
        <v>234</v>
      </c>
      <c r="V93" s="26">
        <f>IF(I93-Q93=0,"",IF(D93="",(P93+S93)/(I93-Q93),IF(AND(D93&lt;&gt;"",(P93+S93)/(I93-Q93)&gt;=50%),(P93+S93)/(I93-Q93),"")))</f>
        <v>0.6363636363636364</v>
      </c>
      <c r="W93" s="26">
        <f>IF(I93=O93,"",IF(V93="",0,(P93+Q93+S93-O93)/(I93-O93)))</f>
        <v>0.5172413793103449</v>
      </c>
      <c r="X93" s="49"/>
      <c r="Y93" s="49"/>
      <c r="Z93" s="49"/>
      <c r="AA93" s="49"/>
      <c r="AB93" s="50"/>
      <c r="AC93" s="49"/>
      <c r="AD93" s="49"/>
      <c r="AE93" s="49"/>
      <c r="AF93" s="49"/>
      <c r="AG93" s="49"/>
      <c r="AH93" s="49"/>
      <c r="AI93" s="49"/>
      <c r="AJ93" s="49"/>
      <c r="AK93" s="49"/>
      <c r="AL93" s="49"/>
      <c r="AM93" s="49"/>
      <c r="AN93" s="49"/>
      <c r="AO93" s="49"/>
    </row>
    <row r="94" spans="1:41" s="39" customFormat="1" ht="21.75" customHeight="1">
      <c r="A94" s="32"/>
      <c r="B94" s="107" t="s">
        <v>50</v>
      </c>
      <c r="C94" s="14" t="s">
        <v>2</v>
      </c>
      <c r="D94" s="29" t="s">
        <v>43</v>
      </c>
      <c r="E94" s="16" t="s">
        <v>204</v>
      </c>
      <c r="F94" s="15"/>
      <c r="G94" s="15"/>
      <c r="H94" s="15"/>
      <c r="I94" s="17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8"/>
      <c r="W94" s="18"/>
      <c r="X94" s="30"/>
      <c r="Y94" s="30"/>
      <c r="Z94" s="30"/>
      <c r="AA94" s="30"/>
      <c r="AB94" s="34"/>
      <c r="AC94" s="30"/>
      <c r="AD94" s="30"/>
      <c r="AE94" s="30"/>
      <c r="AF94" s="30"/>
      <c r="AG94" s="30"/>
      <c r="AH94" s="30"/>
      <c r="AI94" s="30"/>
      <c r="AJ94" s="30"/>
      <c r="AK94" s="30"/>
      <c r="AL94" s="30"/>
      <c r="AM94" s="30"/>
      <c r="AN94" s="30"/>
      <c r="AO94" s="30"/>
    </row>
    <row r="95" spans="1:41" s="39" customFormat="1" ht="18" customHeight="1">
      <c r="A95" s="32">
        <v>17</v>
      </c>
      <c r="B95" s="107"/>
      <c r="C95" s="20" t="str">
        <f>IF(A95="","VARA",VLOOKUP(A95,'[1]varas'!$A$4:$B$67,2))</f>
        <v>17ª VT Recife</v>
      </c>
      <c r="D95" s="29"/>
      <c r="E95" s="16"/>
      <c r="F95" s="15">
        <f>8+13+12</f>
        <v>33</v>
      </c>
      <c r="G95" s="15">
        <v>8</v>
      </c>
      <c r="H95" s="15">
        <v>33</v>
      </c>
      <c r="I95" s="17">
        <f>SUM(F95:H95)</f>
        <v>74</v>
      </c>
      <c r="J95" s="15">
        <v>17</v>
      </c>
      <c r="K95" s="15">
        <v>1</v>
      </c>
      <c r="L95" s="15">
        <v>6</v>
      </c>
      <c r="M95" s="15">
        <v>6</v>
      </c>
      <c r="N95" s="15">
        <v>0</v>
      </c>
      <c r="O95" s="15">
        <v>13</v>
      </c>
      <c r="P95" s="15">
        <f>SUM(J95:O95)</f>
        <v>43</v>
      </c>
      <c r="Q95" s="15">
        <v>1</v>
      </c>
      <c r="R95" s="15">
        <v>30</v>
      </c>
      <c r="S95" s="15">
        <v>0</v>
      </c>
      <c r="T95" s="15">
        <v>0</v>
      </c>
      <c r="U95" s="15">
        <v>37</v>
      </c>
      <c r="V95" s="18"/>
      <c r="W95" s="18"/>
      <c r="X95" s="30"/>
      <c r="Y95" s="30"/>
      <c r="Z95" s="30"/>
      <c r="AA95" s="30"/>
      <c r="AB95" s="34"/>
      <c r="AC95" s="30"/>
      <c r="AD95" s="30"/>
      <c r="AE95" s="30"/>
      <c r="AF95" s="30"/>
      <c r="AG95" s="30"/>
      <c r="AH95" s="30"/>
      <c r="AI95" s="30"/>
      <c r="AJ95" s="30"/>
      <c r="AK95" s="30"/>
      <c r="AL95" s="30"/>
      <c r="AM95" s="30"/>
      <c r="AN95" s="30"/>
      <c r="AO95" s="30"/>
    </row>
    <row r="96" spans="1:41" s="53" customFormat="1" ht="21.75" customHeight="1">
      <c r="A96" s="47"/>
      <c r="B96" s="107"/>
      <c r="C96" s="20" t="s">
        <v>12</v>
      </c>
      <c r="D96" s="24"/>
      <c r="E96" s="48"/>
      <c r="F96" s="24">
        <f>SUM(F94:F95)</f>
        <v>33</v>
      </c>
      <c r="G96" s="24">
        <f>SUM(G94:G95)</f>
        <v>8</v>
      </c>
      <c r="H96" s="24">
        <f>SUM(H94:H95)</f>
        <v>33</v>
      </c>
      <c r="I96" s="40">
        <f>SUM(F96:H96)</f>
        <v>74</v>
      </c>
      <c r="J96" s="24">
        <f aca="true" t="shared" si="28" ref="J96:O96">SUM(J94:J95)</f>
        <v>17</v>
      </c>
      <c r="K96" s="24">
        <f t="shared" si="28"/>
        <v>1</v>
      </c>
      <c r="L96" s="24">
        <f t="shared" si="28"/>
        <v>6</v>
      </c>
      <c r="M96" s="24">
        <f t="shared" si="28"/>
        <v>6</v>
      </c>
      <c r="N96" s="24">
        <f t="shared" si="28"/>
        <v>0</v>
      </c>
      <c r="O96" s="24">
        <f t="shared" si="28"/>
        <v>13</v>
      </c>
      <c r="P96" s="24">
        <f>SUM(J96:O96)</f>
        <v>43</v>
      </c>
      <c r="Q96" s="24">
        <f>SUM(Q94:Q95)</f>
        <v>1</v>
      </c>
      <c r="R96" s="24">
        <f>SUM(R94:R95)</f>
        <v>30</v>
      </c>
      <c r="S96" s="24">
        <f>SUM(S94:S95)</f>
        <v>0</v>
      </c>
      <c r="T96" s="24">
        <f>SUM(T94:T95)</f>
        <v>0</v>
      </c>
      <c r="U96" s="24">
        <f>SUM(U94:U95)</f>
        <v>37</v>
      </c>
      <c r="V96" s="26">
        <f>IF(I96-Q96=0,"",IF(D96="",(P96+S96)/(I96-Q96),IF(AND(D96&lt;&gt;"",(P96+S96)/(I96-Q96)&gt;=50%),(P96+S96)/(I96-Q96),"")))</f>
        <v>0.589041095890411</v>
      </c>
      <c r="W96" s="26">
        <f>IF(I96=O96,"",IF(V96="",0,(P96+Q96+S96-O96)/(I96-O96)))</f>
        <v>0.5081967213114754</v>
      </c>
      <c r="X96" s="49"/>
      <c r="Y96" s="49"/>
      <c r="Z96" s="49"/>
      <c r="AA96" s="49"/>
      <c r="AB96" s="50"/>
      <c r="AC96" s="49"/>
      <c r="AD96" s="49"/>
      <c r="AE96" s="49"/>
      <c r="AF96" s="49"/>
      <c r="AG96" s="49"/>
      <c r="AH96" s="49"/>
      <c r="AI96" s="49"/>
      <c r="AJ96" s="49"/>
      <c r="AK96" s="49"/>
      <c r="AL96" s="49"/>
      <c r="AM96" s="49"/>
      <c r="AN96" s="49"/>
      <c r="AO96" s="49"/>
    </row>
    <row r="97" spans="1:41" s="39" customFormat="1" ht="18.75" customHeight="1">
      <c r="A97" s="32"/>
      <c r="B97" s="107" t="s">
        <v>51</v>
      </c>
      <c r="C97" s="14" t="s">
        <v>2</v>
      </c>
      <c r="D97" s="15" t="s">
        <v>30</v>
      </c>
      <c r="E97" s="16" t="s">
        <v>177</v>
      </c>
      <c r="F97" s="15"/>
      <c r="G97" s="15"/>
      <c r="H97" s="15"/>
      <c r="I97" s="17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8"/>
      <c r="W97" s="18"/>
      <c r="X97" s="30"/>
      <c r="Y97" s="30"/>
      <c r="Z97" s="30"/>
      <c r="AA97" s="30"/>
      <c r="AB97" s="34"/>
      <c r="AC97" s="30"/>
      <c r="AD97" s="30"/>
      <c r="AE97" s="30"/>
      <c r="AF97" s="30"/>
      <c r="AG97" s="30"/>
      <c r="AH97" s="30"/>
      <c r="AI97" s="30"/>
      <c r="AJ97" s="30"/>
      <c r="AK97" s="30"/>
      <c r="AL97" s="30"/>
      <c r="AM97" s="30"/>
      <c r="AN97" s="30"/>
      <c r="AO97" s="30"/>
    </row>
    <row r="98" spans="1:41" s="39" customFormat="1" ht="17.25" customHeight="1">
      <c r="A98" s="32">
        <v>7</v>
      </c>
      <c r="B98" s="107"/>
      <c r="C98" s="20" t="str">
        <f>IF(A98="","VARA",VLOOKUP(A98,'[1]varas'!$A$4:$B$67,2))</f>
        <v>7ª VT Recife</v>
      </c>
      <c r="D98" s="15"/>
      <c r="E98" s="16"/>
      <c r="F98" s="15">
        <f>32+22+9</f>
        <v>63</v>
      </c>
      <c r="G98" s="15">
        <v>2</v>
      </c>
      <c r="H98" s="15">
        <v>0</v>
      </c>
      <c r="I98" s="17">
        <f>SUM(F98:H98)</f>
        <v>65</v>
      </c>
      <c r="J98" s="15">
        <v>8</v>
      </c>
      <c r="K98" s="15">
        <v>17</v>
      </c>
      <c r="L98" s="15">
        <v>9</v>
      </c>
      <c r="M98" s="15">
        <v>0</v>
      </c>
      <c r="N98" s="15">
        <v>0</v>
      </c>
      <c r="O98" s="15">
        <v>22</v>
      </c>
      <c r="P98" s="15">
        <f>SUM(J98:O98)</f>
        <v>56</v>
      </c>
      <c r="Q98" s="15">
        <v>9</v>
      </c>
      <c r="R98" s="15">
        <v>0</v>
      </c>
      <c r="S98" s="15">
        <v>0</v>
      </c>
      <c r="T98" s="15">
        <v>0</v>
      </c>
      <c r="U98" s="15">
        <v>123</v>
      </c>
      <c r="V98" s="18"/>
      <c r="W98" s="18"/>
      <c r="X98" s="30"/>
      <c r="Y98" s="30"/>
      <c r="Z98" s="30"/>
      <c r="AA98" s="30"/>
      <c r="AB98" s="34"/>
      <c r="AC98" s="30"/>
      <c r="AD98" s="30"/>
      <c r="AE98" s="30"/>
      <c r="AF98" s="30"/>
      <c r="AG98" s="30"/>
      <c r="AH98" s="30"/>
      <c r="AI98" s="30"/>
      <c r="AJ98" s="30"/>
      <c r="AK98" s="30"/>
      <c r="AL98" s="30"/>
      <c r="AM98" s="30"/>
      <c r="AN98" s="30"/>
      <c r="AO98" s="30"/>
    </row>
    <row r="99" spans="1:41" s="53" customFormat="1" ht="17.25" customHeight="1">
      <c r="A99" s="47"/>
      <c r="B99" s="107"/>
      <c r="C99" s="21" t="s">
        <v>12</v>
      </c>
      <c r="D99" s="51"/>
      <c r="E99" s="52"/>
      <c r="F99" s="24">
        <f>SUM(F97:F98)</f>
        <v>63</v>
      </c>
      <c r="G99" s="24">
        <f>SUM(G97:G98)</f>
        <v>2</v>
      </c>
      <c r="H99" s="24">
        <f>SUM(H97:H98)</f>
        <v>0</v>
      </c>
      <c r="I99" s="25">
        <f>SUM(F99:H99)</f>
        <v>65</v>
      </c>
      <c r="J99" s="24">
        <f aca="true" t="shared" si="29" ref="J99:O99">SUM(J97:J98)</f>
        <v>8</v>
      </c>
      <c r="K99" s="24">
        <f t="shared" si="29"/>
        <v>17</v>
      </c>
      <c r="L99" s="24">
        <f t="shared" si="29"/>
        <v>9</v>
      </c>
      <c r="M99" s="24">
        <f t="shared" si="29"/>
        <v>0</v>
      </c>
      <c r="N99" s="24">
        <f t="shared" si="29"/>
        <v>0</v>
      </c>
      <c r="O99" s="24">
        <f t="shared" si="29"/>
        <v>22</v>
      </c>
      <c r="P99" s="24">
        <f>SUM(J99:O99)</f>
        <v>56</v>
      </c>
      <c r="Q99" s="24">
        <f>SUM(Q97:Q98)</f>
        <v>9</v>
      </c>
      <c r="R99" s="24">
        <f>SUM(R97:R98)</f>
        <v>0</v>
      </c>
      <c r="S99" s="24">
        <f>SUM(S97:S98)</f>
        <v>0</v>
      </c>
      <c r="T99" s="24">
        <f>SUM(T97:T98)</f>
        <v>0</v>
      </c>
      <c r="U99" s="24">
        <f>SUM(U97:U98)</f>
        <v>123</v>
      </c>
      <c r="V99" s="26">
        <f>IF(I99-Q99=0,"",IF(D99="",(P99+S99)/(I99-Q99),IF(AND(D99&lt;&gt;"",(P99+S99)/(I99-Q99)&gt;=50%),(P99+S99)/(I99-Q99),"")))</f>
        <v>1</v>
      </c>
      <c r="W99" s="26">
        <f>IF(I99=O99,"",IF(V99="",0,(P99+Q99+S99-O99)/(I99-O99)))</f>
        <v>1</v>
      </c>
      <c r="X99" s="49"/>
      <c r="Y99" s="49"/>
      <c r="Z99" s="49"/>
      <c r="AA99" s="49"/>
      <c r="AB99" s="50"/>
      <c r="AC99" s="49"/>
      <c r="AD99" s="49"/>
      <c r="AE99" s="49"/>
      <c r="AF99" s="49"/>
      <c r="AG99" s="49"/>
      <c r="AH99" s="49"/>
      <c r="AI99" s="49"/>
      <c r="AJ99" s="49"/>
      <c r="AK99" s="49"/>
      <c r="AL99" s="49"/>
      <c r="AM99" s="49"/>
      <c r="AN99" s="49"/>
      <c r="AO99" s="49"/>
    </row>
    <row r="100" spans="1:41" s="39" customFormat="1" ht="17.25" customHeight="1">
      <c r="A100" s="32"/>
      <c r="B100" s="107" t="s">
        <v>52</v>
      </c>
      <c r="C100" s="14" t="s">
        <v>161</v>
      </c>
      <c r="D100" s="29" t="s">
        <v>30</v>
      </c>
      <c r="E100" s="16" t="s">
        <v>201</v>
      </c>
      <c r="F100" s="15"/>
      <c r="G100" s="15"/>
      <c r="H100" s="15"/>
      <c r="I100" s="17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8"/>
      <c r="W100" s="18"/>
      <c r="X100" s="30"/>
      <c r="Y100" s="30"/>
      <c r="Z100" s="30"/>
      <c r="AA100" s="30"/>
      <c r="AB100" s="34"/>
      <c r="AC100" s="30"/>
      <c r="AD100" s="30"/>
      <c r="AE100" s="30"/>
      <c r="AF100" s="30"/>
      <c r="AG100" s="30"/>
      <c r="AH100" s="30"/>
      <c r="AI100" s="30"/>
      <c r="AJ100" s="30"/>
      <c r="AK100" s="30"/>
      <c r="AL100" s="30"/>
      <c r="AM100" s="30"/>
      <c r="AN100" s="30"/>
      <c r="AO100" s="30"/>
    </row>
    <row r="101" spans="1:41" s="39" customFormat="1" ht="18" customHeight="1">
      <c r="A101" s="32">
        <v>5</v>
      </c>
      <c r="B101" s="107"/>
      <c r="C101" s="20" t="str">
        <f>IF(A101="","VARA",VLOOKUP(A101,'[1]varas'!$A$4:$B$67,2))</f>
        <v>5ª VT Recife</v>
      </c>
      <c r="D101" s="29"/>
      <c r="E101" s="16"/>
      <c r="F101" s="15">
        <v>14</v>
      </c>
      <c r="G101" s="15">
        <v>11</v>
      </c>
      <c r="H101" s="15">
        <v>19</v>
      </c>
      <c r="I101" s="17">
        <f>SUM(F101:H101)</f>
        <v>44</v>
      </c>
      <c r="J101" s="15">
        <v>24</v>
      </c>
      <c r="K101" s="15">
        <v>0</v>
      </c>
      <c r="L101" s="15">
        <v>9</v>
      </c>
      <c r="M101" s="15">
        <v>5</v>
      </c>
      <c r="N101" s="15">
        <v>0</v>
      </c>
      <c r="O101" s="15">
        <v>0</v>
      </c>
      <c r="P101" s="15">
        <f>SUM(J101:O101)</f>
        <v>38</v>
      </c>
      <c r="Q101" s="15">
        <v>2</v>
      </c>
      <c r="R101" s="15">
        <v>4</v>
      </c>
      <c r="S101" s="15">
        <v>0</v>
      </c>
      <c r="T101" s="15">
        <v>0</v>
      </c>
      <c r="U101" s="15">
        <v>0</v>
      </c>
      <c r="V101" s="18"/>
      <c r="W101" s="18"/>
      <c r="X101" s="30"/>
      <c r="Y101" s="30"/>
      <c r="Z101" s="30"/>
      <c r="AA101" s="30"/>
      <c r="AB101" s="34"/>
      <c r="AC101" s="30"/>
      <c r="AD101" s="30"/>
      <c r="AE101" s="30"/>
      <c r="AF101" s="30"/>
      <c r="AG101" s="30"/>
      <c r="AH101" s="30"/>
      <c r="AI101" s="30"/>
      <c r="AJ101" s="30"/>
      <c r="AK101" s="30"/>
      <c r="AL101" s="30"/>
      <c r="AM101" s="30"/>
      <c r="AN101" s="30"/>
      <c r="AO101" s="30"/>
    </row>
    <row r="102" spans="1:41" s="39" customFormat="1" ht="18" customHeight="1">
      <c r="A102" s="32">
        <v>17</v>
      </c>
      <c r="B102" s="107"/>
      <c r="C102" s="20" t="str">
        <f>IF(A102="","VARA",VLOOKUP(A102,'[1]varas'!$A$4:$B$67,2))</f>
        <v>17ª VT Recife</v>
      </c>
      <c r="D102" s="29"/>
      <c r="E102" s="16"/>
      <c r="F102" s="15">
        <v>0</v>
      </c>
      <c r="G102" s="15">
        <v>0</v>
      </c>
      <c r="H102" s="15">
        <v>1</v>
      </c>
      <c r="I102" s="17">
        <f>SUM(F102:H102)</f>
        <v>1</v>
      </c>
      <c r="J102" s="15">
        <v>0</v>
      </c>
      <c r="K102" s="15">
        <v>0</v>
      </c>
      <c r="L102" s="15">
        <v>0</v>
      </c>
      <c r="M102" s="15">
        <v>0</v>
      </c>
      <c r="N102" s="15">
        <v>0</v>
      </c>
      <c r="O102" s="15">
        <v>0</v>
      </c>
      <c r="P102" s="15">
        <f>SUM(J102:O102)</f>
        <v>0</v>
      </c>
      <c r="Q102" s="15">
        <v>0</v>
      </c>
      <c r="R102" s="15">
        <v>1</v>
      </c>
      <c r="S102" s="15">
        <v>0</v>
      </c>
      <c r="T102" s="15">
        <v>0</v>
      </c>
      <c r="U102" s="15">
        <v>0</v>
      </c>
      <c r="V102" s="18"/>
      <c r="W102" s="18"/>
      <c r="X102" s="30"/>
      <c r="Y102" s="30"/>
      <c r="Z102" s="30"/>
      <c r="AA102" s="30"/>
      <c r="AB102" s="34"/>
      <c r="AC102" s="30"/>
      <c r="AD102" s="30"/>
      <c r="AE102" s="30"/>
      <c r="AF102" s="30"/>
      <c r="AG102" s="30"/>
      <c r="AH102" s="30"/>
      <c r="AI102" s="30"/>
      <c r="AJ102" s="30"/>
      <c r="AK102" s="30"/>
      <c r="AL102" s="30"/>
      <c r="AM102" s="30"/>
      <c r="AN102" s="30"/>
      <c r="AO102" s="30"/>
    </row>
    <row r="103" spans="1:41" s="53" customFormat="1" ht="17.25" customHeight="1">
      <c r="A103" s="47"/>
      <c r="B103" s="107"/>
      <c r="C103" s="20" t="s">
        <v>12</v>
      </c>
      <c r="D103" s="24"/>
      <c r="E103" s="48"/>
      <c r="F103" s="24">
        <f>SUM(F100:F102)</f>
        <v>14</v>
      </c>
      <c r="G103" s="24">
        <f>SUM(G100:G102)</f>
        <v>11</v>
      </c>
      <c r="H103" s="24">
        <f>SUM(H100:H102)</f>
        <v>20</v>
      </c>
      <c r="I103" s="40">
        <f>SUM(F103:H103)</f>
        <v>45</v>
      </c>
      <c r="J103" s="24">
        <f aca="true" t="shared" si="30" ref="J103:O103">SUM(J100:J102)</f>
        <v>24</v>
      </c>
      <c r="K103" s="24">
        <f t="shared" si="30"/>
        <v>0</v>
      </c>
      <c r="L103" s="24">
        <f t="shared" si="30"/>
        <v>9</v>
      </c>
      <c r="M103" s="24">
        <f t="shared" si="30"/>
        <v>5</v>
      </c>
      <c r="N103" s="24">
        <f t="shared" si="30"/>
        <v>0</v>
      </c>
      <c r="O103" s="24">
        <f t="shared" si="30"/>
        <v>0</v>
      </c>
      <c r="P103" s="24">
        <f>SUM(J103:O103)</f>
        <v>38</v>
      </c>
      <c r="Q103" s="24">
        <f>SUM(Q100:Q102)</f>
        <v>2</v>
      </c>
      <c r="R103" s="24">
        <f>SUM(R100:R102)</f>
        <v>5</v>
      </c>
      <c r="S103" s="24">
        <f>SUM(S100:S102)</f>
        <v>0</v>
      </c>
      <c r="T103" s="24">
        <f>SUM(T100:T102)</f>
        <v>0</v>
      </c>
      <c r="U103" s="24">
        <f>SUM(U100:U102)</f>
        <v>0</v>
      </c>
      <c r="V103" s="26">
        <f>IF(I103-Q103=0,"",IF(D103="",(P103+S103)/(I103-Q103),IF(AND(D103&lt;&gt;"",(P103+S103)/(I103-Q103)&gt;=50%),(P103+S103)/(I103-Q103),"")))</f>
        <v>0.8837209302325582</v>
      </c>
      <c r="W103" s="26">
        <f>IF(I103=O103,"",IF(V103="",0,(P103+Q103+S103-O103)/(I103-O103)))</f>
        <v>0.8888888888888888</v>
      </c>
      <c r="X103" s="49"/>
      <c r="Y103" s="49"/>
      <c r="Z103" s="49"/>
      <c r="AA103" s="49"/>
      <c r="AB103" s="50"/>
      <c r="AC103" s="49"/>
      <c r="AD103" s="49"/>
      <c r="AE103" s="49"/>
      <c r="AF103" s="49"/>
      <c r="AG103" s="49"/>
      <c r="AH103" s="49"/>
      <c r="AI103" s="49"/>
      <c r="AJ103" s="49"/>
      <c r="AK103" s="49"/>
      <c r="AL103" s="49"/>
      <c r="AM103" s="49"/>
      <c r="AN103" s="49"/>
      <c r="AO103" s="49"/>
    </row>
    <row r="104" spans="1:41" s="39" customFormat="1" ht="19.5" customHeight="1">
      <c r="A104" s="32"/>
      <c r="B104" s="107" t="s">
        <v>53</v>
      </c>
      <c r="C104" s="14" t="s">
        <v>2</v>
      </c>
      <c r="D104" s="29"/>
      <c r="E104" s="16" t="s">
        <v>27</v>
      </c>
      <c r="F104" s="15"/>
      <c r="G104" s="15"/>
      <c r="H104" s="15"/>
      <c r="I104" s="17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8"/>
      <c r="W104" s="18"/>
      <c r="X104" s="30"/>
      <c r="Y104" s="30"/>
      <c r="Z104" s="30"/>
      <c r="AA104" s="30"/>
      <c r="AB104" s="34"/>
      <c r="AC104" s="30"/>
      <c r="AD104" s="30"/>
      <c r="AE104" s="30"/>
      <c r="AF104" s="30"/>
      <c r="AG104" s="30"/>
      <c r="AH104" s="30"/>
      <c r="AI104" s="30"/>
      <c r="AJ104" s="30"/>
      <c r="AK104" s="30"/>
      <c r="AL104" s="30"/>
      <c r="AM104" s="30"/>
      <c r="AN104" s="30"/>
      <c r="AO104" s="30"/>
    </row>
    <row r="105" spans="1:41" s="39" customFormat="1" ht="16.5" customHeight="1">
      <c r="A105" s="32">
        <v>57</v>
      </c>
      <c r="B105" s="107"/>
      <c r="C105" s="20" t="str">
        <f>IF(A105="","VARA",VLOOKUP(A105,'[1]varas'!$A$4:$B$67,2))</f>
        <v>VT S. Lourenço </v>
      </c>
      <c r="D105" s="15"/>
      <c r="E105" s="16"/>
      <c r="F105" s="15">
        <f>48+73+17+5</f>
        <v>143</v>
      </c>
      <c r="G105" s="15">
        <v>0</v>
      </c>
      <c r="H105" s="15">
        <v>0</v>
      </c>
      <c r="I105" s="17">
        <f>SUM(F105:H105)</f>
        <v>143</v>
      </c>
      <c r="J105" s="15">
        <v>19</v>
      </c>
      <c r="K105" s="15">
        <v>23</v>
      </c>
      <c r="L105" s="15">
        <v>17</v>
      </c>
      <c r="M105" s="15">
        <v>5</v>
      </c>
      <c r="N105" s="15">
        <v>0</v>
      </c>
      <c r="O105" s="15">
        <v>73</v>
      </c>
      <c r="P105" s="15">
        <f>SUM(J105:O105)</f>
        <v>137</v>
      </c>
      <c r="Q105" s="15">
        <v>6</v>
      </c>
      <c r="R105" s="15">
        <v>0</v>
      </c>
      <c r="S105" s="15">
        <v>0</v>
      </c>
      <c r="T105" s="15">
        <v>0</v>
      </c>
      <c r="U105" s="15">
        <v>163</v>
      </c>
      <c r="V105" s="18"/>
      <c r="W105" s="18"/>
      <c r="X105" s="30"/>
      <c r="Y105" s="30"/>
      <c r="Z105" s="30"/>
      <c r="AA105" s="30"/>
      <c r="AB105" s="34"/>
      <c r="AC105" s="30"/>
      <c r="AD105" s="30"/>
      <c r="AE105" s="30"/>
      <c r="AF105" s="30"/>
      <c r="AG105" s="30"/>
      <c r="AH105" s="30"/>
      <c r="AI105" s="30"/>
      <c r="AJ105" s="30"/>
      <c r="AK105" s="30"/>
      <c r="AL105" s="30"/>
      <c r="AM105" s="30"/>
      <c r="AN105" s="30"/>
      <c r="AO105" s="30"/>
    </row>
    <row r="106" spans="1:41" s="53" customFormat="1" ht="15.75" customHeight="1">
      <c r="A106" s="47"/>
      <c r="B106" s="107"/>
      <c r="C106" s="21" t="s">
        <v>12</v>
      </c>
      <c r="D106" s="51"/>
      <c r="E106" s="52"/>
      <c r="F106" s="24">
        <f>SUM(F104:F105)</f>
        <v>143</v>
      </c>
      <c r="G106" s="24">
        <f>SUM(G104:G105)</f>
        <v>0</v>
      </c>
      <c r="H106" s="24">
        <f>SUM(H104:H105)</f>
        <v>0</v>
      </c>
      <c r="I106" s="25">
        <f>SUM(F106:H106)</f>
        <v>143</v>
      </c>
      <c r="J106" s="24">
        <f aca="true" t="shared" si="31" ref="J106:O106">SUM(J104:J105)</f>
        <v>19</v>
      </c>
      <c r="K106" s="24">
        <f t="shared" si="31"/>
        <v>23</v>
      </c>
      <c r="L106" s="24">
        <f t="shared" si="31"/>
        <v>17</v>
      </c>
      <c r="M106" s="24">
        <f t="shared" si="31"/>
        <v>5</v>
      </c>
      <c r="N106" s="24">
        <f t="shared" si="31"/>
        <v>0</v>
      </c>
      <c r="O106" s="24">
        <f t="shared" si="31"/>
        <v>73</v>
      </c>
      <c r="P106" s="24">
        <f>SUM(J106:O106)</f>
        <v>137</v>
      </c>
      <c r="Q106" s="24">
        <f>SUM(Q104:Q105)</f>
        <v>6</v>
      </c>
      <c r="R106" s="24">
        <f>SUM(R104:R105)</f>
        <v>0</v>
      </c>
      <c r="S106" s="24">
        <f>SUM(S104:S105)</f>
        <v>0</v>
      </c>
      <c r="T106" s="24">
        <f>SUM(T104:T105)</f>
        <v>0</v>
      </c>
      <c r="U106" s="24">
        <f>SUM(U104:U105)</f>
        <v>163</v>
      </c>
      <c r="V106" s="26">
        <f>IF(I106-Q106=0,"",IF(D106="",(P106+S106)/(I106-Q106),IF(AND(D106&lt;&gt;"",(P106+S106)/(I106-Q106)&gt;=50%),(P106+S106)/(I106-Q106),"")))</f>
        <v>1</v>
      </c>
      <c r="W106" s="26">
        <f>IF(I106=O106,"",IF(V106="",0,(P106+Q106+S106-O106)/(I106-O106)))</f>
        <v>1</v>
      </c>
      <c r="X106" s="49"/>
      <c r="Y106" s="49"/>
      <c r="Z106" s="49"/>
      <c r="AA106" s="49"/>
      <c r="AB106" s="50"/>
      <c r="AC106" s="49"/>
      <c r="AD106" s="49"/>
      <c r="AE106" s="49"/>
      <c r="AF106" s="49"/>
      <c r="AG106" s="49"/>
      <c r="AH106" s="49"/>
      <c r="AI106" s="49"/>
      <c r="AJ106" s="49"/>
      <c r="AK106" s="49"/>
      <c r="AL106" s="49"/>
      <c r="AM106" s="49"/>
      <c r="AN106" s="49"/>
      <c r="AO106" s="49"/>
    </row>
    <row r="107" spans="1:41" s="39" customFormat="1" ht="18" customHeight="1">
      <c r="A107" s="32"/>
      <c r="B107" s="107" t="s">
        <v>54</v>
      </c>
      <c r="C107" s="14" t="s">
        <v>2</v>
      </c>
      <c r="D107" s="29" t="s">
        <v>43</v>
      </c>
      <c r="E107" s="16" t="s">
        <v>205</v>
      </c>
      <c r="F107" s="15"/>
      <c r="G107" s="15"/>
      <c r="H107" s="15"/>
      <c r="I107" s="17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8"/>
      <c r="W107" s="18"/>
      <c r="X107" s="30"/>
      <c r="Y107" s="30"/>
      <c r="Z107" s="30"/>
      <c r="AA107" s="30"/>
      <c r="AB107" s="34"/>
      <c r="AC107" s="30"/>
      <c r="AD107" s="30"/>
      <c r="AE107" s="30"/>
      <c r="AF107" s="30"/>
      <c r="AG107" s="30"/>
      <c r="AH107" s="30"/>
      <c r="AI107" s="30"/>
      <c r="AJ107" s="30"/>
      <c r="AK107" s="30"/>
      <c r="AL107" s="30"/>
      <c r="AM107" s="30"/>
      <c r="AN107" s="30"/>
      <c r="AO107" s="30"/>
    </row>
    <row r="108" spans="1:41" s="39" customFormat="1" ht="16.5" customHeight="1">
      <c r="A108" s="32">
        <v>21</v>
      </c>
      <c r="B108" s="107"/>
      <c r="C108" s="20" t="str">
        <f>IF(A108="","VARA",VLOOKUP(A108,'[1]varas'!$A$4:$B$67,2))</f>
        <v>21ª VT Recife</v>
      </c>
      <c r="D108" s="15"/>
      <c r="E108" s="16"/>
      <c r="F108" s="15">
        <f>25+20+3+1</f>
        <v>49</v>
      </c>
      <c r="G108" s="15">
        <v>5</v>
      </c>
      <c r="H108" s="15">
        <v>1</v>
      </c>
      <c r="I108" s="17">
        <f>SUM(F108:H108)</f>
        <v>55</v>
      </c>
      <c r="J108" s="15">
        <v>17</v>
      </c>
      <c r="K108" s="15">
        <v>1</v>
      </c>
      <c r="L108" s="15">
        <v>3</v>
      </c>
      <c r="M108" s="15">
        <v>1</v>
      </c>
      <c r="N108" s="15">
        <v>0</v>
      </c>
      <c r="O108" s="15">
        <v>20</v>
      </c>
      <c r="P108" s="15">
        <f>SUM(J108:O108)</f>
        <v>42</v>
      </c>
      <c r="Q108" s="15">
        <v>13</v>
      </c>
      <c r="R108" s="15">
        <v>0</v>
      </c>
      <c r="S108" s="15">
        <v>0</v>
      </c>
      <c r="T108" s="15">
        <v>0</v>
      </c>
      <c r="U108" s="15">
        <v>69</v>
      </c>
      <c r="V108" s="18"/>
      <c r="W108" s="18"/>
      <c r="X108" s="30"/>
      <c r="Y108" s="30"/>
      <c r="Z108" s="30"/>
      <c r="AA108" s="30"/>
      <c r="AB108" s="34"/>
      <c r="AC108" s="30"/>
      <c r="AD108" s="30"/>
      <c r="AE108" s="30"/>
      <c r="AF108" s="30"/>
      <c r="AG108" s="30"/>
      <c r="AH108" s="30"/>
      <c r="AI108" s="30"/>
      <c r="AJ108" s="30"/>
      <c r="AK108" s="30"/>
      <c r="AL108" s="30"/>
      <c r="AM108" s="30"/>
      <c r="AN108" s="30"/>
      <c r="AO108" s="30"/>
    </row>
    <row r="109" spans="1:41" s="39" customFormat="1" ht="18" customHeight="1">
      <c r="A109" s="32"/>
      <c r="B109" s="107"/>
      <c r="C109" s="21" t="s">
        <v>12</v>
      </c>
      <c r="D109" s="33"/>
      <c r="E109" s="23"/>
      <c r="F109" s="24">
        <f>SUM(F107:F108)</f>
        <v>49</v>
      </c>
      <c r="G109" s="24">
        <f>SUM(G107:G108)</f>
        <v>5</v>
      </c>
      <c r="H109" s="24">
        <f>SUM(H107:H108)</f>
        <v>1</v>
      </c>
      <c r="I109" s="40">
        <f>SUM(F109:H109)</f>
        <v>55</v>
      </c>
      <c r="J109" s="24">
        <f aca="true" t="shared" si="32" ref="J109:O109">SUM(J107:J108)</f>
        <v>17</v>
      </c>
      <c r="K109" s="24">
        <f t="shared" si="32"/>
        <v>1</v>
      </c>
      <c r="L109" s="24">
        <f t="shared" si="32"/>
        <v>3</v>
      </c>
      <c r="M109" s="24">
        <f t="shared" si="32"/>
        <v>1</v>
      </c>
      <c r="N109" s="24">
        <f t="shared" si="32"/>
        <v>0</v>
      </c>
      <c r="O109" s="24">
        <f t="shared" si="32"/>
        <v>20</v>
      </c>
      <c r="P109" s="24">
        <f>SUM(J109:O109)</f>
        <v>42</v>
      </c>
      <c r="Q109" s="24">
        <f>SUM(Q107:Q108)</f>
        <v>13</v>
      </c>
      <c r="R109" s="24">
        <f>SUM(R107:R108)</f>
        <v>0</v>
      </c>
      <c r="S109" s="24">
        <f>SUM(S107:S108)</f>
        <v>0</v>
      </c>
      <c r="T109" s="24">
        <f>SUM(T107:T108)</f>
        <v>0</v>
      </c>
      <c r="U109" s="24">
        <f>SUM(U107:U108)</f>
        <v>69</v>
      </c>
      <c r="V109" s="26">
        <f>IF(I109-Q109=0,"",IF(D109="",(P109+S109)/(I109-Q109),IF(AND(D109&lt;&gt;"",(P109+S109)/(I109-Q109)&gt;=50%),(P109+S109)/(I109-Q109),"")))</f>
        <v>1</v>
      </c>
      <c r="W109" s="26">
        <f>IF(I109=O109,"",IF(V109="",0,(P109+Q109+S109-O109)/(I109-O109)))</f>
        <v>1</v>
      </c>
      <c r="X109" s="30"/>
      <c r="Y109" s="30"/>
      <c r="Z109" s="30"/>
      <c r="AA109" s="30"/>
      <c r="AB109" s="34"/>
      <c r="AC109" s="30"/>
      <c r="AD109" s="30"/>
      <c r="AE109" s="30"/>
      <c r="AF109" s="30"/>
      <c r="AG109" s="30"/>
      <c r="AH109" s="30"/>
      <c r="AI109" s="30"/>
      <c r="AJ109" s="30"/>
      <c r="AK109" s="30"/>
      <c r="AL109" s="30"/>
      <c r="AM109" s="30"/>
      <c r="AN109" s="30"/>
      <c r="AO109" s="30"/>
    </row>
    <row r="110" spans="1:41" s="39" customFormat="1" ht="20.25" customHeight="1">
      <c r="A110" s="32"/>
      <c r="B110" s="107" t="s">
        <v>55</v>
      </c>
      <c r="C110" s="14" t="s">
        <v>2</v>
      </c>
      <c r="D110" s="15"/>
      <c r="E110" s="16" t="s">
        <v>27</v>
      </c>
      <c r="F110" s="15"/>
      <c r="G110" s="15"/>
      <c r="H110" s="15"/>
      <c r="I110" s="17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8"/>
      <c r="W110" s="18"/>
      <c r="X110" s="30"/>
      <c r="Y110" s="30"/>
      <c r="Z110" s="30"/>
      <c r="AA110" s="30"/>
      <c r="AB110" s="34"/>
      <c r="AC110" s="30"/>
      <c r="AD110" s="30"/>
      <c r="AE110" s="30"/>
      <c r="AF110" s="30"/>
      <c r="AG110" s="30"/>
      <c r="AH110" s="30"/>
      <c r="AI110" s="30"/>
      <c r="AJ110" s="30"/>
      <c r="AK110" s="30"/>
      <c r="AL110" s="30"/>
      <c r="AM110" s="30"/>
      <c r="AN110" s="30"/>
      <c r="AO110" s="30"/>
    </row>
    <row r="111" spans="1:41" s="39" customFormat="1" ht="20.25" customHeight="1">
      <c r="A111" s="32">
        <v>57</v>
      </c>
      <c r="B111" s="107"/>
      <c r="C111" s="20" t="str">
        <f>IF(A111="","VARA",VLOOKUP(A111,'[1]varas'!$A$4:$B$67,2))</f>
        <v>VT S. Lourenço </v>
      </c>
      <c r="D111" s="15"/>
      <c r="E111" s="16"/>
      <c r="F111" s="15">
        <f>29+52+4</f>
        <v>85</v>
      </c>
      <c r="G111" s="15">
        <v>21</v>
      </c>
      <c r="H111" s="15">
        <v>42</v>
      </c>
      <c r="I111" s="17">
        <f>SUM(F111:H111)</f>
        <v>148</v>
      </c>
      <c r="J111" s="15">
        <v>25</v>
      </c>
      <c r="K111" s="15">
        <v>2</v>
      </c>
      <c r="L111" s="15">
        <v>2</v>
      </c>
      <c r="M111" s="15">
        <v>2</v>
      </c>
      <c r="N111" s="15">
        <v>0</v>
      </c>
      <c r="O111" s="15">
        <v>52</v>
      </c>
      <c r="P111" s="15">
        <f>SUM(J111:O111)</f>
        <v>83</v>
      </c>
      <c r="Q111" s="15">
        <v>16</v>
      </c>
      <c r="R111" s="15">
        <v>49</v>
      </c>
      <c r="S111" s="15">
        <v>0</v>
      </c>
      <c r="T111" s="15">
        <v>0</v>
      </c>
      <c r="U111" s="15">
        <v>109</v>
      </c>
      <c r="V111" s="18"/>
      <c r="W111" s="18"/>
      <c r="X111" s="30"/>
      <c r="Y111" s="30"/>
      <c r="Z111" s="30"/>
      <c r="AA111" s="30"/>
      <c r="AB111" s="34"/>
      <c r="AC111" s="30"/>
      <c r="AD111" s="30"/>
      <c r="AE111" s="30"/>
      <c r="AF111" s="30"/>
      <c r="AG111" s="30"/>
      <c r="AH111" s="30"/>
      <c r="AI111" s="30"/>
      <c r="AJ111" s="30"/>
      <c r="AK111" s="30"/>
      <c r="AL111" s="30"/>
      <c r="AM111" s="30"/>
      <c r="AN111" s="30"/>
      <c r="AO111" s="30"/>
    </row>
    <row r="112" spans="1:41" s="53" customFormat="1" ht="18" customHeight="1">
      <c r="A112" s="47"/>
      <c r="B112" s="107"/>
      <c r="C112" s="20" t="s">
        <v>12</v>
      </c>
      <c r="D112" s="24"/>
      <c r="E112" s="48"/>
      <c r="F112" s="24">
        <f>SUM(F110:F111)</f>
        <v>85</v>
      </c>
      <c r="G112" s="24">
        <f>SUM(G110:G111)</f>
        <v>21</v>
      </c>
      <c r="H112" s="24">
        <f>SUM(H110:H111)</f>
        <v>42</v>
      </c>
      <c r="I112" s="40">
        <f>SUM(F112:H112)</f>
        <v>148</v>
      </c>
      <c r="J112" s="24">
        <f aca="true" t="shared" si="33" ref="J112:O112">SUM(J110:J111)</f>
        <v>25</v>
      </c>
      <c r="K112" s="24">
        <f t="shared" si="33"/>
        <v>2</v>
      </c>
      <c r="L112" s="24">
        <f t="shared" si="33"/>
        <v>2</v>
      </c>
      <c r="M112" s="24">
        <f t="shared" si="33"/>
        <v>2</v>
      </c>
      <c r="N112" s="24">
        <f t="shared" si="33"/>
        <v>0</v>
      </c>
      <c r="O112" s="24">
        <f t="shared" si="33"/>
        <v>52</v>
      </c>
      <c r="P112" s="24">
        <f>SUM(J112:O112)</f>
        <v>83</v>
      </c>
      <c r="Q112" s="24">
        <f>SUM(Q110:Q111)</f>
        <v>16</v>
      </c>
      <c r="R112" s="24">
        <f>SUM(R110:R111)</f>
        <v>49</v>
      </c>
      <c r="S112" s="24">
        <f>SUM(S110:S111)</f>
        <v>0</v>
      </c>
      <c r="T112" s="24">
        <f>SUM(T110:T111)</f>
        <v>0</v>
      </c>
      <c r="U112" s="24">
        <f>SUM(U110:U111)</f>
        <v>109</v>
      </c>
      <c r="V112" s="26">
        <f>IF(I112-Q112=0,"",IF(D112="",(P112+S112)/(I112-Q112),IF(AND(D112&lt;&gt;"",(P112+S112)/(I112-Q112)&gt;=50%),(P112+S112)/(I112-Q112),"")))</f>
        <v>0.6287878787878788</v>
      </c>
      <c r="W112" s="26">
        <f>IF(I112=O112,"",IF(V112="",0,(P112+Q112+S112-O112)/(I112-O112)))</f>
        <v>0.4895833333333333</v>
      </c>
      <c r="X112" s="49"/>
      <c r="Y112" s="49"/>
      <c r="Z112" s="49"/>
      <c r="AA112" s="49"/>
      <c r="AB112" s="50"/>
      <c r="AC112" s="49"/>
      <c r="AD112" s="49"/>
      <c r="AE112" s="49"/>
      <c r="AF112" s="49"/>
      <c r="AG112" s="49"/>
      <c r="AH112" s="49"/>
      <c r="AI112" s="49"/>
      <c r="AJ112" s="49"/>
      <c r="AK112" s="49"/>
      <c r="AL112" s="49"/>
      <c r="AM112" s="49"/>
      <c r="AN112" s="49"/>
      <c r="AO112" s="49"/>
    </row>
    <row r="113" spans="1:41" s="39" customFormat="1" ht="20.25" customHeight="1">
      <c r="A113" s="32"/>
      <c r="B113" s="107" t="s">
        <v>56</v>
      </c>
      <c r="C113" s="14" t="s">
        <v>2</v>
      </c>
      <c r="D113" s="29"/>
      <c r="E113" s="16" t="s">
        <v>27</v>
      </c>
      <c r="F113" s="15"/>
      <c r="G113" s="15"/>
      <c r="H113" s="15"/>
      <c r="I113" s="17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8"/>
      <c r="W113" s="18"/>
      <c r="X113" s="30"/>
      <c r="Y113" s="30"/>
      <c r="Z113" s="30"/>
      <c r="AA113" s="30"/>
      <c r="AB113" s="34"/>
      <c r="AC113" s="30"/>
      <c r="AD113" s="30"/>
      <c r="AE113" s="30"/>
      <c r="AF113" s="30"/>
      <c r="AG113" s="30"/>
      <c r="AH113" s="30"/>
      <c r="AI113" s="30"/>
      <c r="AJ113" s="30"/>
      <c r="AK113" s="30"/>
      <c r="AL113" s="30"/>
      <c r="AM113" s="30"/>
      <c r="AN113" s="30"/>
      <c r="AO113" s="30"/>
    </row>
    <row r="114" spans="1:41" s="39" customFormat="1" ht="16.5" customHeight="1">
      <c r="A114" s="32">
        <v>23</v>
      </c>
      <c r="B114" s="107"/>
      <c r="C114" s="20" t="str">
        <f>IF(A114="","VARA",VLOOKUP(A114,'[1]varas'!$A$4:$B$67,2))</f>
        <v>23ª VT Recife</v>
      </c>
      <c r="D114" s="15"/>
      <c r="E114" s="16"/>
      <c r="F114" s="15">
        <f>46+52+8+6</f>
        <v>112</v>
      </c>
      <c r="G114" s="15">
        <v>10</v>
      </c>
      <c r="H114" s="15">
        <v>0</v>
      </c>
      <c r="I114" s="17">
        <f>SUM(F114:H114)</f>
        <v>122</v>
      </c>
      <c r="J114" s="15">
        <v>25</v>
      </c>
      <c r="K114" s="15">
        <v>11</v>
      </c>
      <c r="L114" s="15">
        <v>8</v>
      </c>
      <c r="M114" s="15">
        <v>6</v>
      </c>
      <c r="N114" s="15">
        <v>0</v>
      </c>
      <c r="O114" s="15">
        <v>52</v>
      </c>
      <c r="P114" s="15">
        <f>SUM(J114:O114)</f>
        <v>102</v>
      </c>
      <c r="Q114" s="15">
        <v>20</v>
      </c>
      <c r="R114" s="15">
        <v>0</v>
      </c>
      <c r="S114" s="15">
        <v>0</v>
      </c>
      <c r="T114" s="15">
        <v>0</v>
      </c>
      <c r="U114" s="15">
        <v>159</v>
      </c>
      <c r="V114" s="18"/>
      <c r="W114" s="18"/>
      <c r="X114" s="30"/>
      <c r="Y114" s="30"/>
      <c r="Z114" s="30"/>
      <c r="AA114" s="30"/>
      <c r="AB114" s="34"/>
      <c r="AC114" s="30"/>
      <c r="AD114" s="30"/>
      <c r="AE114" s="30"/>
      <c r="AF114" s="30"/>
      <c r="AG114" s="30"/>
      <c r="AH114" s="30"/>
      <c r="AI114" s="30"/>
      <c r="AJ114" s="30"/>
      <c r="AK114" s="30"/>
      <c r="AL114" s="30"/>
      <c r="AM114" s="30"/>
      <c r="AN114" s="30"/>
      <c r="AO114" s="30"/>
    </row>
    <row r="115" spans="1:41" s="53" customFormat="1" ht="17.25" customHeight="1">
      <c r="A115" s="47"/>
      <c r="B115" s="107"/>
      <c r="C115" s="21" t="s">
        <v>12</v>
      </c>
      <c r="D115" s="51"/>
      <c r="E115" s="52"/>
      <c r="F115" s="24">
        <f>SUM(F113:F114)</f>
        <v>112</v>
      </c>
      <c r="G115" s="24">
        <f>SUM(G113:G114)</f>
        <v>10</v>
      </c>
      <c r="H115" s="24">
        <f>SUM(H113:H114)</f>
        <v>0</v>
      </c>
      <c r="I115" s="25">
        <f>SUM(F115:H115)</f>
        <v>122</v>
      </c>
      <c r="J115" s="24">
        <f aca="true" t="shared" si="34" ref="J115:O115">SUM(J113:J114)</f>
        <v>25</v>
      </c>
      <c r="K115" s="24">
        <f t="shared" si="34"/>
        <v>11</v>
      </c>
      <c r="L115" s="24">
        <f t="shared" si="34"/>
        <v>8</v>
      </c>
      <c r="M115" s="24">
        <f t="shared" si="34"/>
        <v>6</v>
      </c>
      <c r="N115" s="24">
        <f t="shared" si="34"/>
        <v>0</v>
      </c>
      <c r="O115" s="24">
        <f t="shared" si="34"/>
        <v>52</v>
      </c>
      <c r="P115" s="24">
        <f>SUM(J115:O115)</f>
        <v>102</v>
      </c>
      <c r="Q115" s="24">
        <f>SUM(Q113:Q114)</f>
        <v>20</v>
      </c>
      <c r="R115" s="24">
        <f>SUM(R113:R114)</f>
        <v>0</v>
      </c>
      <c r="S115" s="24">
        <f>SUM(S113:S114)</f>
        <v>0</v>
      </c>
      <c r="T115" s="24">
        <f>SUM(T113:T114)</f>
        <v>0</v>
      </c>
      <c r="U115" s="24">
        <f>SUM(U113:U114)</f>
        <v>159</v>
      </c>
      <c r="V115" s="26">
        <f>IF(I115-Q115=0,"",IF(D115="",(P115+S115)/(I115-Q115),IF(AND(D115&lt;&gt;"",(P115+S115)/(I115-Q115)&gt;=50%),(P115+S115)/(I115-Q115),"")))</f>
        <v>1</v>
      </c>
      <c r="W115" s="26">
        <f>IF(I115=O115,"",IF(V115="",0,(P115+Q115+S115-O115)/(I115-O115)))</f>
        <v>1</v>
      </c>
      <c r="X115" s="49"/>
      <c r="Y115" s="49"/>
      <c r="Z115" s="49"/>
      <c r="AA115" s="49"/>
      <c r="AB115" s="50"/>
      <c r="AC115" s="49"/>
      <c r="AD115" s="49"/>
      <c r="AE115" s="49"/>
      <c r="AF115" s="49"/>
      <c r="AG115" s="49"/>
      <c r="AH115" s="49"/>
      <c r="AI115" s="49"/>
      <c r="AJ115" s="49"/>
      <c r="AK115" s="49"/>
      <c r="AL115" s="49"/>
      <c r="AM115" s="49"/>
      <c r="AN115" s="49"/>
      <c r="AO115" s="49"/>
    </row>
    <row r="116" spans="1:41" s="39" customFormat="1" ht="19.5" customHeight="1">
      <c r="A116" s="32"/>
      <c r="B116" s="107" t="s">
        <v>57</v>
      </c>
      <c r="C116" s="14" t="s">
        <v>161</v>
      </c>
      <c r="D116" s="15" t="s">
        <v>30</v>
      </c>
      <c r="E116" s="16" t="s">
        <v>206</v>
      </c>
      <c r="F116" s="15"/>
      <c r="G116" s="15"/>
      <c r="H116" s="15"/>
      <c r="I116" s="17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8"/>
      <c r="W116" s="18"/>
      <c r="X116" s="30"/>
      <c r="Y116" s="30"/>
      <c r="Z116" s="30"/>
      <c r="AA116" s="30"/>
      <c r="AB116" s="34"/>
      <c r="AC116" s="30"/>
      <c r="AD116" s="30"/>
      <c r="AE116" s="30"/>
      <c r="AF116" s="30"/>
      <c r="AG116" s="30"/>
      <c r="AH116" s="30"/>
      <c r="AI116" s="30"/>
      <c r="AJ116" s="30"/>
      <c r="AK116" s="30"/>
      <c r="AL116" s="30"/>
      <c r="AM116" s="30"/>
      <c r="AN116" s="30"/>
      <c r="AO116" s="30"/>
    </row>
    <row r="117" spans="1:41" s="39" customFormat="1" ht="18" customHeight="1">
      <c r="A117" s="32">
        <v>3</v>
      </c>
      <c r="B117" s="107"/>
      <c r="C117" s="20" t="str">
        <f>IF(A117="","VARA",VLOOKUP(A117,'[1]varas'!$A$4:$B$67,2))</f>
        <v>3ª VT Recife</v>
      </c>
      <c r="D117" s="15"/>
      <c r="E117" s="16"/>
      <c r="F117" s="15">
        <f>24+6+43+7+4</f>
        <v>84</v>
      </c>
      <c r="G117" s="15">
        <v>15</v>
      </c>
      <c r="H117" s="15">
        <v>29</v>
      </c>
      <c r="I117" s="17">
        <f>SUM(F117:H117)</f>
        <v>128</v>
      </c>
      <c r="J117" s="15">
        <v>11</v>
      </c>
      <c r="K117" s="15">
        <v>4</v>
      </c>
      <c r="L117" s="15">
        <v>21</v>
      </c>
      <c r="M117" s="15">
        <v>0</v>
      </c>
      <c r="N117" s="15">
        <v>0</v>
      </c>
      <c r="O117" s="15">
        <v>6</v>
      </c>
      <c r="P117" s="15">
        <f>SUM(J117:O117)</f>
        <v>42</v>
      </c>
      <c r="Q117" s="15">
        <v>53</v>
      </c>
      <c r="R117" s="15">
        <v>33</v>
      </c>
      <c r="S117" s="15">
        <v>0</v>
      </c>
      <c r="T117" s="15">
        <v>0</v>
      </c>
      <c r="U117" s="15">
        <v>68</v>
      </c>
      <c r="V117" s="18"/>
      <c r="W117" s="18"/>
      <c r="X117" s="30"/>
      <c r="Y117" s="30"/>
      <c r="Z117" s="30"/>
      <c r="AA117" s="30"/>
      <c r="AB117" s="34"/>
      <c r="AC117" s="30"/>
      <c r="AD117" s="30"/>
      <c r="AE117" s="30"/>
      <c r="AF117" s="30"/>
      <c r="AG117" s="30"/>
      <c r="AH117" s="30"/>
      <c r="AI117" s="30"/>
      <c r="AJ117" s="30"/>
      <c r="AK117" s="30"/>
      <c r="AL117" s="30"/>
      <c r="AM117" s="30"/>
      <c r="AN117" s="30"/>
      <c r="AO117" s="30"/>
    </row>
    <row r="118" spans="1:41" s="39" customFormat="1" ht="19.5" customHeight="1">
      <c r="A118" s="32"/>
      <c r="B118" s="107"/>
      <c r="C118" s="21" t="s">
        <v>12</v>
      </c>
      <c r="D118" s="33"/>
      <c r="E118" s="23"/>
      <c r="F118" s="24">
        <f>SUM(F116:F117)</f>
        <v>84</v>
      </c>
      <c r="G118" s="24">
        <f>SUM(G116:G117)</f>
        <v>15</v>
      </c>
      <c r="H118" s="24">
        <f>SUM(H116:H117)</f>
        <v>29</v>
      </c>
      <c r="I118" s="40">
        <f>SUM(F118:H118)</f>
        <v>128</v>
      </c>
      <c r="J118" s="24">
        <f aca="true" t="shared" si="35" ref="J118:O118">SUM(J116:J117)</f>
        <v>11</v>
      </c>
      <c r="K118" s="24">
        <f t="shared" si="35"/>
        <v>4</v>
      </c>
      <c r="L118" s="24">
        <f t="shared" si="35"/>
        <v>21</v>
      </c>
      <c r="M118" s="24">
        <f t="shared" si="35"/>
        <v>0</v>
      </c>
      <c r="N118" s="24">
        <f t="shared" si="35"/>
        <v>0</v>
      </c>
      <c r="O118" s="24">
        <f t="shared" si="35"/>
        <v>6</v>
      </c>
      <c r="P118" s="24">
        <f>SUM(J118:O118)</f>
        <v>42</v>
      </c>
      <c r="Q118" s="24">
        <f>SUM(Q116:Q117)</f>
        <v>53</v>
      </c>
      <c r="R118" s="24">
        <f>SUM(R116:R117)</f>
        <v>33</v>
      </c>
      <c r="S118" s="24">
        <f>SUM(S116:S117)</f>
        <v>0</v>
      </c>
      <c r="T118" s="24">
        <f>SUM(T116:T117)</f>
        <v>0</v>
      </c>
      <c r="U118" s="24">
        <f>SUM(U116:U117)</f>
        <v>68</v>
      </c>
      <c r="V118" s="26">
        <f>IF(I118-Q118=0,"",IF(D118="",(P118+S118)/(I118-Q118),IF(AND(D118&lt;&gt;"",(P118+S118)/(I118-Q118)&gt;=50%),(P118+S118)/(I118-Q118),"")))</f>
        <v>0.56</v>
      </c>
      <c r="W118" s="26">
        <f>IF(I118=O118,"",IF(V118="",0,(P118+Q118+S118-O118)/(I118-O118)))</f>
        <v>0.7295081967213115</v>
      </c>
      <c r="X118" s="30"/>
      <c r="Y118" s="30"/>
      <c r="Z118" s="30"/>
      <c r="AA118" s="30"/>
      <c r="AB118" s="34"/>
      <c r="AC118" s="30"/>
      <c r="AD118" s="30"/>
      <c r="AE118" s="30"/>
      <c r="AF118" s="30"/>
      <c r="AG118" s="30"/>
      <c r="AH118" s="30"/>
      <c r="AI118" s="30"/>
      <c r="AJ118" s="30"/>
      <c r="AK118" s="30"/>
      <c r="AL118" s="30"/>
      <c r="AM118" s="30"/>
      <c r="AN118" s="30"/>
      <c r="AO118" s="30"/>
    </row>
    <row r="119" spans="1:41" s="39" customFormat="1" ht="21" customHeight="1">
      <c r="A119" s="32"/>
      <c r="B119" s="107" t="s">
        <v>58</v>
      </c>
      <c r="C119" s="14" t="s">
        <v>186</v>
      </c>
      <c r="D119" s="104"/>
      <c r="E119" s="23" t="s">
        <v>27</v>
      </c>
      <c r="F119" s="23"/>
      <c r="G119" s="23"/>
      <c r="H119" s="23"/>
      <c r="I119" s="40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6"/>
      <c r="W119" s="26"/>
      <c r="X119" s="30"/>
      <c r="Y119" s="30"/>
      <c r="Z119" s="30"/>
      <c r="AA119" s="30"/>
      <c r="AB119" s="34"/>
      <c r="AC119" s="30"/>
      <c r="AD119" s="30"/>
      <c r="AE119" s="30"/>
      <c r="AF119" s="30"/>
      <c r="AG119" s="30"/>
      <c r="AH119" s="30"/>
      <c r="AI119" s="30"/>
      <c r="AJ119" s="30"/>
      <c r="AK119" s="30"/>
      <c r="AL119" s="30"/>
      <c r="AM119" s="30"/>
      <c r="AN119" s="30"/>
      <c r="AO119" s="30"/>
    </row>
    <row r="120" spans="1:41" s="39" customFormat="1" ht="16.5" customHeight="1">
      <c r="A120" s="32">
        <v>9</v>
      </c>
      <c r="B120" s="107"/>
      <c r="C120" s="20" t="str">
        <f>IF(A120="","VARA",VLOOKUP(A120,'[1]varas'!$A$4:$B$67,2))</f>
        <v>9ª VT Recife</v>
      </c>
      <c r="D120" s="15"/>
      <c r="E120" s="16"/>
      <c r="F120" s="15">
        <v>0</v>
      </c>
      <c r="G120" s="15">
        <v>0</v>
      </c>
      <c r="H120" s="15">
        <v>3</v>
      </c>
      <c r="I120" s="17">
        <f>SUM(F120:H120)</f>
        <v>3</v>
      </c>
      <c r="J120" s="15">
        <v>2</v>
      </c>
      <c r="K120" s="15">
        <v>0</v>
      </c>
      <c r="L120" s="15">
        <v>0</v>
      </c>
      <c r="M120" s="15">
        <v>0</v>
      </c>
      <c r="N120" s="15">
        <v>0</v>
      </c>
      <c r="O120" s="15">
        <v>0</v>
      </c>
      <c r="P120" s="15">
        <f>SUM(J120:O120)</f>
        <v>2</v>
      </c>
      <c r="Q120" s="15">
        <v>0</v>
      </c>
      <c r="R120" s="15">
        <v>1</v>
      </c>
      <c r="S120" s="15">
        <v>0</v>
      </c>
      <c r="T120" s="15">
        <v>0</v>
      </c>
      <c r="U120" s="15">
        <v>0</v>
      </c>
      <c r="V120" s="18"/>
      <c r="W120" s="18"/>
      <c r="X120" s="30"/>
      <c r="Y120" s="30"/>
      <c r="Z120" s="30"/>
      <c r="AA120" s="30"/>
      <c r="AB120" s="34"/>
      <c r="AC120" s="30"/>
      <c r="AD120" s="30"/>
      <c r="AE120" s="30"/>
      <c r="AF120" s="30"/>
      <c r="AG120" s="30"/>
      <c r="AH120" s="30"/>
      <c r="AI120" s="30"/>
      <c r="AJ120" s="30"/>
      <c r="AK120" s="30"/>
      <c r="AL120" s="30"/>
      <c r="AM120" s="30"/>
      <c r="AN120" s="30"/>
      <c r="AO120" s="30"/>
    </row>
    <row r="121" spans="1:41" s="39" customFormat="1" ht="20.25" customHeight="1">
      <c r="A121" s="32">
        <v>38</v>
      </c>
      <c r="B121" s="107"/>
      <c r="C121" s="20" t="str">
        <f>IF(A121="","VARA",VLOOKUP(A121,'[1]varas'!$A$4:$B$67,2))</f>
        <v>1ª VT Olinda</v>
      </c>
      <c r="D121" s="15"/>
      <c r="E121" s="16"/>
      <c r="F121" s="15">
        <f>5+11+3</f>
        <v>19</v>
      </c>
      <c r="G121" s="15">
        <v>0</v>
      </c>
      <c r="H121" s="15">
        <v>3</v>
      </c>
      <c r="I121" s="17">
        <f aca="true" t="shared" si="36" ref="I121:I126">SUM(F121:H121)</f>
        <v>22</v>
      </c>
      <c r="J121" s="15">
        <v>1</v>
      </c>
      <c r="K121" s="15">
        <v>1</v>
      </c>
      <c r="L121" s="15">
        <v>3</v>
      </c>
      <c r="M121" s="15">
        <v>0</v>
      </c>
      <c r="N121" s="15">
        <v>0</v>
      </c>
      <c r="O121" s="15">
        <v>11</v>
      </c>
      <c r="P121" s="15">
        <f aca="true" t="shared" si="37" ref="P121:P126">SUM(J121:O121)</f>
        <v>16</v>
      </c>
      <c r="Q121" s="15">
        <v>2</v>
      </c>
      <c r="R121" s="15">
        <v>4</v>
      </c>
      <c r="S121" s="15">
        <v>0</v>
      </c>
      <c r="T121" s="15">
        <v>0</v>
      </c>
      <c r="U121" s="15">
        <v>45</v>
      </c>
      <c r="V121" s="18"/>
      <c r="W121" s="18"/>
      <c r="X121" s="30"/>
      <c r="Y121" s="30"/>
      <c r="Z121" s="30"/>
      <c r="AA121" s="30"/>
      <c r="AB121" s="34"/>
      <c r="AC121" s="30"/>
      <c r="AD121" s="30"/>
      <c r="AE121" s="30"/>
      <c r="AF121" s="30"/>
      <c r="AG121" s="30"/>
      <c r="AH121" s="30"/>
      <c r="AI121" s="30"/>
      <c r="AJ121" s="30"/>
      <c r="AK121" s="30"/>
      <c r="AL121" s="30"/>
      <c r="AM121" s="30"/>
      <c r="AN121" s="30"/>
      <c r="AO121" s="30"/>
    </row>
    <row r="122" spans="1:41" s="39" customFormat="1" ht="19.5" customHeight="1">
      <c r="A122" s="32">
        <v>39</v>
      </c>
      <c r="B122" s="107"/>
      <c r="C122" s="20" t="str">
        <f>IF(A122="","VARA",VLOOKUP(A122,'[1]varas'!$A$4:$B$67,2))</f>
        <v>2ª VT Olinda</v>
      </c>
      <c r="D122" s="15"/>
      <c r="E122" s="16"/>
      <c r="F122" s="15">
        <v>0</v>
      </c>
      <c r="G122" s="15">
        <v>0</v>
      </c>
      <c r="H122" s="15">
        <v>1</v>
      </c>
      <c r="I122" s="17">
        <f>SUM(F122:H122)</f>
        <v>1</v>
      </c>
      <c r="J122" s="15">
        <v>0</v>
      </c>
      <c r="K122" s="15">
        <v>0</v>
      </c>
      <c r="L122" s="15">
        <v>0</v>
      </c>
      <c r="M122" s="15">
        <v>0</v>
      </c>
      <c r="N122" s="15">
        <v>0</v>
      </c>
      <c r="O122" s="15">
        <v>0</v>
      </c>
      <c r="P122" s="15">
        <f>SUM(J122:O122)</f>
        <v>0</v>
      </c>
      <c r="Q122" s="15">
        <v>0</v>
      </c>
      <c r="R122" s="15">
        <v>1</v>
      </c>
      <c r="S122" s="15">
        <v>0</v>
      </c>
      <c r="T122" s="15">
        <v>0</v>
      </c>
      <c r="U122" s="15">
        <v>0</v>
      </c>
      <c r="V122" s="18"/>
      <c r="W122" s="18"/>
      <c r="X122" s="30"/>
      <c r="Y122" s="30"/>
      <c r="Z122" s="30"/>
      <c r="AA122" s="30"/>
      <c r="AB122" s="34"/>
      <c r="AC122" s="30"/>
      <c r="AD122" s="30"/>
      <c r="AE122" s="30"/>
      <c r="AF122" s="30"/>
      <c r="AG122" s="30"/>
      <c r="AH122" s="30"/>
      <c r="AI122" s="30"/>
      <c r="AJ122" s="30"/>
      <c r="AK122" s="30"/>
      <c r="AL122" s="30"/>
      <c r="AM122" s="30"/>
      <c r="AN122" s="30"/>
      <c r="AO122" s="30"/>
    </row>
    <row r="123" spans="1:41" s="39" customFormat="1" ht="18" customHeight="1">
      <c r="A123" s="32">
        <v>40</v>
      </c>
      <c r="B123" s="107"/>
      <c r="C123" s="20" t="str">
        <f>IF(A123="","VARA",VLOOKUP(A123,'[1]varas'!$A$4:$B$67,2))</f>
        <v>3ª VT Olinda</v>
      </c>
      <c r="D123" s="15"/>
      <c r="E123" s="16"/>
      <c r="F123" s="15">
        <v>8</v>
      </c>
      <c r="G123" s="15">
        <v>0</v>
      </c>
      <c r="H123" s="15">
        <v>3</v>
      </c>
      <c r="I123" s="17">
        <f>SUM(F123:H123)</f>
        <v>11</v>
      </c>
      <c r="J123" s="15">
        <v>5</v>
      </c>
      <c r="K123" s="15">
        <v>0</v>
      </c>
      <c r="L123" s="15">
        <v>0</v>
      </c>
      <c r="M123" s="15">
        <v>0</v>
      </c>
      <c r="N123" s="15">
        <v>0</v>
      </c>
      <c r="O123" s="15">
        <v>5</v>
      </c>
      <c r="P123" s="15">
        <f>SUM(J123:O123)</f>
        <v>10</v>
      </c>
      <c r="Q123" s="15">
        <v>0</v>
      </c>
      <c r="R123" s="15">
        <v>1</v>
      </c>
      <c r="S123" s="15">
        <v>0</v>
      </c>
      <c r="T123" s="15">
        <v>0</v>
      </c>
      <c r="U123" s="15">
        <v>11</v>
      </c>
      <c r="V123" s="18"/>
      <c r="W123" s="18"/>
      <c r="X123" s="30"/>
      <c r="Y123" s="30"/>
      <c r="Z123" s="30"/>
      <c r="AA123" s="30"/>
      <c r="AB123" s="34"/>
      <c r="AC123" s="30"/>
      <c r="AD123" s="30"/>
      <c r="AE123" s="30"/>
      <c r="AF123" s="30"/>
      <c r="AG123" s="30"/>
      <c r="AH123" s="30"/>
      <c r="AI123" s="30"/>
      <c r="AJ123" s="30"/>
      <c r="AK123" s="30"/>
      <c r="AL123" s="30"/>
      <c r="AM123" s="30"/>
      <c r="AN123" s="30"/>
      <c r="AO123" s="30"/>
    </row>
    <row r="124" spans="1:41" s="39" customFormat="1" ht="15.75" customHeight="1">
      <c r="A124" s="32">
        <v>30</v>
      </c>
      <c r="B124" s="107"/>
      <c r="C124" s="20" t="str">
        <f>IF(A124="","VARA",VLOOKUP(A124,'[1]varas'!$A$4:$B$67,2))</f>
        <v>3ª VT Caruaru</v>
      </c>
      <c r="D124" s="15"/>
      <c r="E124" s="16"/>
      <c r="F124" s="15">
        <v>49</v>
      </c>
      <c r="G124" s="15">
        <v>0</v>
      </c>
      <c r="H124" s="15">
        <v>6</v>
      </c>
      <c r="I124" s="17">
        <f t="shared" si="36"/>
        <v>55</v>
      </c>
      <c r="J124" s="15">
        <v>4</v>
      </c>
      <c r="K124" s="15">
        <v>9</v>
      </c>
      <c r="L124" s="15">
        <v>0</v>
      </c>
      <c r="M124" s="15">
        <v>0</v>
      </c>
      <c r="N124" s="15">
        <v>0</v>
      </c>
      <c r="O124" s="15">
        <v>42</v>
      </c>
      <c r="P124" s="15">
        <f t="shared" si="37"/>
        <v>55</v>
      </c>
      <c r="Q124" s="15">
        <v>0</v>
      </c>
      <c r="R124" s="15">
        <v>0</v>
      </c>
      <c r="S124" s="15">
        <v>0</v>
      </c>
      <c r="T124" s="15">
        <v>0</v>
      </c>
      <c r="U124" s="15">
        <v>168</v>
      </c>
      <c r="V124" s="18"/>
      <c r="W124" s="18"/>
      <c r="X124" s="30"/>
      <c r="Y124" s="30"/>
      <c r="Z124" s="30"/>
      <c r="AA124" s="30"/>
      <c r="AB124" s="34"/>
      <c r="AC124" s="30"/>
      <c r="AD124" s="30"/>
      <c r="AE124" s="30"/>
      <c r="AF124" s="30"/>
      <c r="AG124" s="30"/>
      <c r="AH124" s="30"/>
      <c r="AI124" s="30"/>
      <c r="AJ124" s="30"/>
      <c r="AK124" s="30"/>
      <c r="AL124" s="30"/>
      <c r="AM124" s="30"/>
      <c r="AN124" s="30"/>
      <c r="AO124" s="30"/>
    </row>
    <row r="125" spans="1:41" s="39" customFormat="1" ht="17.25" customHeight="1">
      <c r="A125" s="32">
        <v>24</v>
      </c>
      <c r="B125" s="107"/>
      <c r="C125" s="20" t="str">
        <f>IF(A125="","VARA",VLOOKUP(A125,'[1]varas'!$A$4:$B$67,2))</f>
        <v>1ª VT Barreiros</v>
      </c>
      <c r="D125" s="15"/>
      <c r="E125" s="16"/>
      <c r="F125" s="15">
        <v>0</v>
      </c>
      <c r="G125" s="15">
        <v>7</v>
      </c>
      <c r="H125" s="15">
        <v>4</v>
      </c>
      <c r="I125" s="17">
        <f t="shared" si="36"/>
        <v>11</v>
      </c>
      <c r="J125" s="15">
        <v>0</v>
      </c>
      <c r="K125" s="15">
        <v>0</v>
      </c>
      <c r="L125" s="15">
        <v>0</v>
      </c>
      <c r="M125" s="15">
        <v>0</v>
      </c>
      <c r="N125" s="15">
        <v>0</v>
      </c>
      <c r="O125" s="15">
        <v>0</v>
      </c>
      <c r="P125" s="15">
        <f t="shared" si="37"/>
        <v>0</v>
      </c>
      <c r="Q125" s="15">
        <v>0</v>
      </c>
      <c r="R125" s="15">
        <v>11</v>
      </c>
      <c r="S125" s="15">
        <v>0</v>
      </c>
      <c r="T125" s="15">
        <v>0</v>
      </c>
      <c r="U125" s="15">
        <v>0</v>
      </c>
      <c r="V125" s="18"/>
      <c r="W125" s="18"/>
      <c r="X125" s="30"/>
      <c r="Y125" s="30"/>
      <c r="Z125" s="30"/>
      <c r="AA125" s="30"/>
      <c r="AB125" s="34"/>
      <c r="AC125" s="30"/>
      <c r="AD125" s="30"/>
      <c r="AE125" s="30"/>
      <c r="AF125" s="30"/>
      <c r="AG125" s="30"/>
      <c r="AH125" s="30"/>
      <c r="AI125" s="30"/>
      <c r="AJ125" s="30"/>
      <c r="AK125" s="30"/>
      <c r="AL125" s="30"/>
      <c r="AM125" s="30"/>
      <c r="AN125" s="30"/>
      <c r="AO125" s="30"/>
    </row>
    <row r="126" spans="1:41" s="39" customFormat="1" ht="17.25" customHeight="1">
      <c r="A126" s="32"/>
      <c r="B126" s="107"/>
      <c r="C126" s="21" t="s">
        <v>12</v>
      </c>
      <c r="D126" s="33"/>
      <c r="E126" s="23"/>
      <c r="F126" s="24">
        <f>SUM(F119:F125)</f>
        <v>76</v>
      </c>
      <c r="G126" s="24">
        <f>SUM(G119:G125)</f>
        <v>7</v>
      </c>
      <c r="H126" s="24">
        <f>SUM(H119:H125)</f>
        <v>20</v>
      </c>
      <c r="I126" s="25">
        <f t="shared" si="36"/>
        <v>103</v>
      </c>
      <c r="J126" s="24">
        <f aca="true" t="shared" si="38" ref="J126:O126">SUM(J119:J125)</f>
        <v>12</v>
      </c>
      <c r="K126" s="24">
        <f t="shared" si="38"/>
        <v>10</v>
      </c>
      <c r="L126" s="24">
        <f t="shared" si="38"/>
        <v>3</v>
      </c>
      <c r="M126" s="24">
        <f t="shared" si="38"/>
        <v>0</v>
      </c>
      <c r="N126" s="24">
        <f t="shared" si="38"/>
        <v>0</v>
      </c>
      <c r="O126" s="24">
        <f t="shared" si="38"/>
        <v>58</v>
      </c>
      <c r="P126" s="24">
        <f t="shared" si="37"/>
        <v>83</v>
      </c>
      <c r="Q126" s="24">
        <f>SUM(Q119:Q125)</f>
        <v>2</v>
      </c>
      <c r="R126" s="24">
        <f>SUM(R119:R125)</f>
        <v>18</v>
      </c>
      <c r="S126" s="24">
        <f>SUM(S119:S125)</f>
        <v>0</v>
      </c>
      <c r="T126" s="24">
        <f>SUM(T119:T125)</f>
        <v>0</v>
      </c>
      <c r="U126" s="24">
        <f>SUM(U119:U125)</f>
        <v>224</v>
      </c>
      <c r="V126" s="26">
        <f>IF(I126-Q126=0,"",IF(D126="",(P126+S126)/(I126-Q126),IF(AND(D126&lt;&gt;"",(P126+S126)/(I126-Q126)&gt;=50%),(P126+S126)/(I126-Q126),"")))</f>
        <v>0.8217821782178217</v>
      </c>
      <c r="W126" s="26">
        <f>IF(I126=O126,"",IF(V126="",0,(P126+Q126+S126-O126)/(I126-O126)))</f>
        <v>0.6</v>
      </c>
      <c r="X126" s="30"/>
      <c r="Y126" s="30"/>
      <c r="Z126" s="30"/>
      <c r="AA126" s="30"/>
      <c r="AB126" s="34"/>
      <c r="AC126" s="30"/>
      <c r="AD126" s="30"/>
      <c r="AE126" s="30"/>
      <c r="AF126" s="30"/>
      <c r="AG126" s="30"/>
      <c r="AH126" s="30"/>
      <c r="AI126" s="30"/>
      <c r="AJ126" s="30"/>
      <c r="AK126" s="30"/>
      <c r="AL126" s="30"/>
      <c r="AM126" s="30"/>
      <c r="AN126" s="30"/>
      <c r="AO126" s="30"/>
    </row>
    <row r="127" spans="1:41" s="39" customFormat="1" ht="18" customHeight="1">
      <c r="A127" s="32"/>
      <c r="B127" s="114" t="s">
        <v>163</v>
      </c>
      <c r="C127" s="91" t="s">
        <v>164</v>
      </c>
      <c r="D127" s="92"/>
      <c r="E127" s="93" t="s">
        <v>27</v>
      </c>
      <c r="F127" s="94"/>
      <c r="G127" s="94"/>
      <c r="H127" s="94"/>
      <c r="I127" s="95"/>
      <c r="J127" s="94"/>
      <c r="K127" s="94"/>
      <c r="L127" s="94"/>
      <c r="M127" s="94"/>
      <c r="N127" s="94"/>
      <c r="O127" s="94"/>
      <c r="P127" s="94"/>
      <c r="Q127" s="94"/>
      <c r="R127" s="94"/>
      <c r="S127" s="94"/>
      <c r="T127" s="94"/>
      <c r="U127" s="94"/>
      <c r="V127" s="96"/>
      <c r="W127" s="96"/>
      <c r="X127" s="30"/>
      <c r="Y127" s="30"/>
      <c r="Z127" s="30"/>
      <c r="AA127" s="30"/>
      <c r="AB127" s="34"/>
      <c r="AC127" s="30"/>
      <c r="AD127" s="30"/>
      <c r="AE127" s="30"/>
      <c r="AF127" s="30"/>
      <c r="AG127" s="30"/>
      <c r="AH127" s="30"/>
      <c r="AI127" s="30"/>
      <c r="AJ127" s="30"/>
      <c r="AK127" s="30"/>
      <c r="AL127" s="30"/>
      <c r="AM127" s="30"/>
      <c r="AN127" s="30"/>
      <c r="AO127" s="30"/>
    </row>
    <row r="128" spans="1:41" s="39" customFormat="1" ht="17.25" customHeight="1">
      <c r="A128" s="32">
        <v>32</v>
      </c>
      <c r="B128" s="114"/>
      <c r="C128" s="97" t="str">
        <f>IF(A128="","VARA",VLOOKUP(A128,'[1]varas'!$A$4:$B$67,2))</f>
        <v>1ª VT Ipojuca</v>
      </c>
      <c r="D128" s="92"/>
      <c r="E128" s="93"/>
      <c r="F128" s="94">
        <v>0</v>
      </c>
      <c r="G128" s="94">
        <v>1</v>
      </c>
      <c r="H128" s="94">
        <v>0</v>
      </c>
      <c r="I128" s="95">
        <f>SUM(F128:H128)</f>
        <v>1</v>
      </c>
      <c r="J128" s="94">
        <v>1</v>
      </c>
      <c r="K128" s="94">
        <v>0</v>
      </c>
      <c r="L128" s="94">
        <v>0</v>
      </c>
      <c r="M128" s="94">
        <v>0</v>
      </c>
      <c r="N128" s="94">
        <v>0</v>
      </c>
      <c r="O128" s="94">
        <v>0</v>
      </c>
      <c r="P128" s="94">
        <f>SUM(J128:O128)</f>
        <v>1</v>
      </c>
      <c r="Q128" s="94">
        <v>0</v>
      </c>
      <c r="R128" s="94">
        <v>0</v>
      </c>
      <c r="S128" s="94">
        <v>0</v>
      </c>
      <c r="T128" s="94">
        <v>0</v>
      </c>
      <c r="U128" s="94">
        <v>0</v>
      </c>
      <c r="V128" s="96"/>
      <c r="W128" s="96"/>
      <c r="X128" s="30"/>
      <c r="Y128" s="30"/>
      <c r="Z128" s="30"/>
      <c r="AA128" s="30"/>
      <c r="AB128" s="34"/>
      <c r="AC128" s="30"/>
      <c r="AD128" s="30"/>
      <c r="AE128" s="30"/>
      <c r="AF128" s="30"/>
      <c r="AG128" s="30"/>
      <c r="AH128" s="30"/>
      <c r="AI128" s="30"/>
      <c r="AJ128" s="30"/>
      <c r="AK128" s="30"/>
      <c r="AL128" s="30"/>
      <c r="AM128" s="30"/>
      <c r="AN128" s="30"/>
      <c r="AO128" s="30"/>
    </row>
    <row r="129" spans="1:41" s="39" customFormat="1" ht="17.25" customHeight="1">
      <c r="A129" s="32">
        <v>65</v>
      </c>
      <c r="B129" s="114"/>
      <c r="C129" s="97" t="s">
        <v>178</v>
      </c>
      <c r="D129" s="92"/>
      <c r="E129" s="93"/>
      <c r="F129" s="94">
        <f>39+56+2</f>
        <v>97</v>
      </c>
      <c r="G129" s="94">
        <v>12</v>
      </c>
      <c r="H129" s="94">
        <v>0</v>
      </c>
      <c r="I129" s="95">
        <f>SUM(F129:H129)</f>
        <v>109</v>
      </c>
      <c r="J129" s="94">
        <v>40</v>
      </c>
      <c r="K129" s="94">
        <v>2</v>
      </c>
      <c r="L129" s="94">
        <v>2</v>
      </c>
      <c r="M129" s="94">
        <v>0</v>
      </c>
      <c r="N129" s="94">
        <v>0</v>
      </c>
      <c r="O129" s="94">
        <v>56</v>
      </c>
      <c r="P129" s="94">
        <f>SUM(J129:O129)</f>
        <v>100</v>
      </c>
      <c r="Q129" s="94">
        <v>9</v>
      </c>
      <c r="R129" s="94">
        <v>0</v>
      </c>
      <c r="S129" s="94">
        <v>0</v>
      </c>
      <c r="T129" s="94">
        <v>0</v>
      </c>
      <c r="U129" s="94">
        <v>261</v>
      </c>
      <c r="V129" s="96"/>
      <c r="W129" s="96"/>
      <c r="X129" s="30"/>
      <c r="Y129" s="30"/>
      <c r="Z129" s="30"/>
      <c r="AA129" s="30"/>
      <c r="AB129" s="34"/>
      <c r="AC129" s="30"/>
      <c r="AD129" s="30"/>
      <c r="AE129" s="30"/>
      <c r="AF129" s="30"/>
      <c r="AG129" s="30"/>
      <c r="AH129" s="30"/>
      <c r="AI129" s="30"/>
      <c r="AJ129" s="30"/>
      <c r="AK129" s="30"/>
      <c r="AL129" s="30"/>
      <c r="AM129" s="30"/>
      <c r="AN129" s="30"/>
      <c r="AO129" s="30"/>
    </row>
    <row r="130" spans="1:41" s="39" customFormat="1" ht="18.75" customHeight="1">
      <c r="A130" s="32">
        <v>38</v>
      </c>
      <c r="B130" s="114"/>
      <c r="C130" s="97" t="str">
        <f>IF(A130="","VARA",VLOOKUP(A130,'[1]varas'!$A$4:$B$67,2))</f>
        <v>1ª VT Olinda</v>
      </c>
      <c r="D130" s="92"/>
      <c r="E130" s="93"/>
      <c r="F130" s="94">
        <v>12</v>
      </c>
      <c r="G130" s="94">
        <v>0</v>
      </c>
      <c r="H130" s="94">
        <v>0</v>
      </c>
      <c r="I130" s="95">
        <f>SUM(F130:H130)</f>
        <v>12</v>
      </c>
      <c r="J130" s="94">
        <v>0</v>
      </c>
      <c r="K130" s="94">
        <v>3</v>
      </c>
      <c r="L130" s="94">
        <v>0</v>
      </c>
      <c r="M130" s="94">
        <v>0</v>
      </c>
      <c r="N130" s="94">
        <v>0</v>
      </c>
      <c r="O130" s="94">
        <v>6</v>
      </c>
      <c r="P130" s="94">
        <f>SUM(J130:O130)</f>
        <v>9</v>
      </c>
      <c r="Q130" s="94">
        <v>3</v>
      </c>
      <c r="R130" s="94">
        <v>0</v>
      </c>
      <c r="S130" s="94">
        <v>0</v>
      </c>
      <c r="T130" s="94">
        <v>0</v>
      </c>
      <c r="U130" s="94">
        <v>12</v>
      </c>
      <c r="V130" s="96"/>
      <c r="W130" s="96"/>
      <c r="X130" s="30"/>
      <c r="Y130" s="30"/>
      <c r="Z130" s="30"/>
      <c r="AA130" s="30"/>
      <c r="AB130" s="34"/>
      <c r="AC130" s="30"/>
      <c r="AD130" s="30"/>
      <c r="AE130" s="30"/>
      <c r="AF130" s="30"/>
      <c r="AG130" s="30"/>
      <c r="AH130" s="30"/>
      <c r="AI130" s="30"/>
      <c r="AJ130" s="30"/>
      <c r="AK130" s="30"/>
      <c r="AL130" s="30"/>
      <c r="AM130" s="30"/>
      <c r="AN130" s="30"/>
      <c r="AO130" s="30"/>
    </row>
    <row r="131" spans="1:41" s="39" customFormat="1" ht="17.25" customHeight="1">
      <c r="A131" s="32"/>
      <c r="B131" s="114"/>
      <c r="C131" s="98" t="s">
        <v>12</v>
      </c>
      <c r="D131" s="99"/>
      <c r="E131" s="100"/>
      <c r="F131" s="101">
        <f>SUM(F127:F130)</f>
        <v>109</v>
      </c>
      <c r="G131" s="101">
        <f>SUM(G127:G130)</f>
        <v>13</v>
      </c>
      <c r="H131" s="101">
        <f>SUM(H127:H130)</f>
        <v>0</v>
      </c>
      <c r="I131" s="102">
        <f>SUM(F131:H131)</f>
        <v>122</v>
      </c>
      <c r="J131" s="101">
        <f aca="true" t="shared" si="39" ref="J131:O131">SUM(J127:J130)</f>
        <v>41</v>
      </c>
      <c r="K131" s="101">
        <f t="shared" si="39"/>
        <v>5</v>
      </c>
      <c r="L131" s="101">
        <f t="shared" si="39"/>
        <v>2</v>
      </c>
      <c r="M131" s="101">
        <f t="shared" si="39"/>
        <v>0</v>
      </c>
      <c r="N131" s="101">
        <f t="shared" si="39"/>
        <v>0</v>
      </c>
      <c r="O131" s="101">
        <f t="shared" si="39"/>
        <v>62</v>
      </c>
      <c r="P131" s="101">
        <f>SUM(J131:O131)</f>
        <v>110</v>
      </c>
      <c r="Q131" s="101">
        <f>SUM(Q127:Q130)</f>
        <v>12</v>
      </c>
      <c r="R131" s="101">
        <f>SUM(R127:R130)</f>
        <v>0</v>
      </c>
      <c r="S131" s="101">
        <f>SUM(S127:S130)</f>
        <v>0</v>
      </c>
      <c r="T131" s="101">
        <f>SUM(T127:T130)</f>
        <v>0</v>
      </c>
      <c r="U131" s="101">
        <f>SUM(U127:U130)</f>
        <v>273</v>
      </c>
      <c r="V131" s="103">
        <f>IF(I131-Q131=0,"",IF(D131="",(P131+S131)/(I131-Q131),IF(AND(D131&lt;&gt;"",(P131+S131)/(I131-Q131)&gt;=50%),(P131+S131)/(I131-Q131),"")))</f>
        <v>1</v>
      </c>
      <c r="W131" s="103">
        <f>IF(I131=O131,"",IF(V131="",0,(P131+Q131+S131-O131)/(I131-O131)))</f>
        <v>1</v>
      </c>
      <c r="X131" s="30"/>
      <c r="Y131" s="30"/>
      <c r="Z131" s="30"/>
      <c r="AA131" s="30"/>
      <c r="AB131" s="34"/>
      <c r="AC131" s="30"/>
      <c r="AD131" s="30"/>
      <c r="AE131" s="30"/>
      <c r="AF131" s="30"/>
      <c r="AG131" s="30"/>
      <c r="AH131" s="30"/>
      <c r="AI131" s="30"/>
      <c r="AJ131" s="30"/>
      <c r="AK131" s="30"/>
      <c r="AL131" s="30"/>
      <c r="AM131" s="30"/>
      <c r="AN131" s="30"/>
      <c r="AO131" s="30"/>
    </row>
    <row r="132" spans="1:41" s="39" customFormat="1" ht="19.5" customHeight="1">
      <c r="A132" s="32"/>
      <c r="B132" s="107" t="s">
        <v>59</v>
      </c>
      <c r="C132" s="14" t="s">
        <v>2</v>
      </c>
      <c r="D132" s="29"/>
      <c r="E132" s="16" t="s">
        <v>27</v>
      </c>
      <c r="F132" s="15"/>
      <c r="G132" s="15"/>
      <c r="H132" s="15"/>
      <c r="I132" s="17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8"/>
      <c r="W132" s="18"/>
      <c r="X132" s="30"/>
      <c r="Y132" s="30"/>
      <c r="Z132" s="30"/>
      <c r="AA132" s="30"/>
      <c r="AB132" s="34"/>
      <c r="AC132" s="30"/>
      <c r="AD132" s="30"/>
      <c r="AE132" s="30"/>
      <c r="AF132" s="30"/>
      <c r="AG132" s="30"/>
      <c r="AH132" s="30"/>
      <c r="AI132" s="30"/>
      <c r="AJ132" s="30"/>
      <c r="AK132" s="30"/>
      <c r="AL132" s="30"/>
      <c r="AM132" s="30"/>
      <c r="AN132" s="30"/>
      <c r="AO132" s="30"/>
    </row>
    <row r="133" spans="1:41" s="39" customFormat="1" ht="16.5" customHeight="1">
      <c r="A133" s="32">
        <v>22</v>
      </c>
      <c r="B133" s="107"/>
      <c r="C133" s="20" t="str">
        <f>IF(A133="","VARA",VLOOKUP(A133,'[1]varas'!$A$4:$B$67,2))</f>
        <v>22ª VT Recife</v>
      </c>
      <c r="D133" s="15"/>
      <c r="E133" s="16"/>
      <c r="F133" s="15">
        <f>68+20+6+7</f>
        <v>101</v>
      </c>
      <c r="G133" s="15">
        <v>11</v>
      </c>
      <c r="H133" s="15">
        <v>5</v>
      </c>
      <c r="I133" s="17">
        <f>SUM(F133:H133)</f>
        <v>117</v>
      </c>
      <c r="J133" s="15">
        <v>42</v>
      </c>
      <c r="K133" s="15">
        <v>24</v>
      </c>
      <c r="L133" s="15">
        <v>6</v>
      </c>
      <c r="M133" s="15">
        <v>12</v>
      </c>
      <c r="N133" s="15">
        <v>0</v>
      </c>
      <c r="O133" s="15">
        <v>20</v>
      </c>
      <c r="P133" s="15">
        <f>SUM(J133:O133)</f>
        <v>104</v>
      </c>
      <c r="Q133" s="15">
        <v>13</v>
      </c>
      <c r="R133" s="15">
        <v>0</v>
      </c>
      <c r="S133" s="15">
        <v>0</v>
      </c>
      <c r="T133" s="15">
        <v>0</v>
      </c>
      <c r="U133" s="15">
        <v>138</v>
      </c>
      <c r="V133" s="18"/>
      <c r="W133" s="18"/>
      <c r="X133" s="30"/>
      <c r="Y133" s="30"/>
      <c r="Z133" s="30"/>
      <c r="AA133" s="30"/>
      <c r="AB133" s="34"/>
      <c r="AC133" s="30"/>
      <c r="AD133" s="30"/>
      <c r="AE133" s="30"/>
      <c r="AF133" s="30"/>
      <c r="AG133" s="30"/>
      <c r="AH133" s="30"/>
      <c r="AI133" s="30"/>
      <c r="AJ133" s="30"/>
      <c r="AK133" s="30"/>
      <c r="AL133" s="30"/>
      <c r="AM133" s="30"/>
      <c r="AN133" s="30"/>
      <c r="AO133" s="30"/>
    </row>
    <row r="134" spans="1:41" s="53" customFormat="1" ht="16.5" customHeight="1">
      <c r="A134" s="47"/>
      <c r="B134" s="107"/>
      <c r="C134" s="21" t="s">
        <v>12</v>
      </c>
      <c r="D134" s="51"/>
      <c r="E134" s="52"/>
      <c r="F134" s="24">
        <f>SUM(F132:F133)</f>
        <v>101</v>
      </c>
      <c r="G134" s="24">
        <f>SUM(G132:G133)</f>
        <v>11</v>
      </c>
      <c r="H134" s="24">
        <f>SUM(H132:H133)</f>
        <v>5</v>
      </c>
      <c r="I134" s="25">
        <f>SUM(F134:H134)</f>
        <v>117</v>
      </c>
      <c r="J134" s="24">
        <f aca="true" t="shared" si="40" ref="J134:O134">SUM(J132:J133)</f>
        <v>42</v>
      </c>
      <c r="K134" s="24">
        <f t="shared" si="40"/>
        <v>24</v>
      </c>
      <c r="L134" s="24">
        <f t="shared" si="40"/>
        <v>6</v>
      </c>
      <c r="M134" s="24">
        <f t="shared" si="40"/>
        <v>12</v>
      </c>
      <c r="N134" s="24">
        <f t="shared" si="40"/>
        <v>0</v>
      </c>
      <c r="O134" s="24">
        <f t="shared" si="40"/>
        <v>20</v>
      </c>
      <c r="P134" s="24">
        <f>SUM(J134:O134)</f>
        <v>104</v>
      </c>
      <c r="Q134" s="24">
        <f>SUM(Q132:Q133)</f>
        <v>13</v>
      </c>
      <c r="R134" s="24">
        <f>SUM(R132:R133)</f>
        <v>0</v>
      </c>
      <c r="S134" s="24">
        <f>SUM(S132:S133)</f>
        <v>0</v>
      </c>
      <c r="T134" s="24">
        <f>SUM(T132:T133)</f>
        <v>0</v>
      </c>
      <c r="U134" s="24">
        <f>SUM(U132:U133)</f>
        <v>138</v>
      </c>
      <c r="V134" s="26">
        <f>IF(I134-Q134=0,"",IF(D134="",(P134+S134)/(I134-Q134),IF(AND(D134&lt;&gt;"",(P134+S134)/(I134-Q134)&gt;=50%),(P134+S134)/(I134-Q134),"")))</f>
        <v>1</v>
      </c>
      <c r="W134" s="26">
        <f>IF(I134=O134,"",IF(V134="",0,(P134+Q134+S134-O134)/(I134-O134)))</f>
        <v>1</v>
      </c>
      <c r="X134" s="49"/>
      <c r="Y134" s="49"/>
      <c r="Z134" s="49"/>
      <c r="AA134" s="49"/>
      <c r="AB134" s="50"/>
      <c r="AC134" s="49"/>
      <c r="AD134" s="49"/>
      <c r="AE134" s="49"/>
      <c r="AF134" s="49"/>
      <c r="AG134" s="49"/>
      <c r="AH134" s="49"/>
      <c r="AI134" s="49"/>
      <c r="AJ134" s="49"/>
      <c r="AK134" s="49"/>
      <c r="AL134" s="49"/>
      <c r="AM134" s="49"/>
      <c r="AN134" s="49"/>
      <c r="AO134" s="49"/>
    </row>
    <row r="135" spans="1:41" s="39" customFormat="1" ht="18" customHeight="1">
      <c r="A135" s="32"/>
      <c r="B135" s="107" t="s">
        <v>60</v>
      </c>
      <c r="C135" s="14" t="s">
        <v>164</v>
      </c>
      <c r="D135" s="15" t="s">
        <v>30</v>
      </c>
      <c r="E135" s="16" t="s">
        <v>175</v>
      </c>
      <c r="F135" s="15"/>
      <c r="G135" s="15"/>
      <c r="H135" s="15"/>
      <c r="I135" s="17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8"/>
      <c r="W135" s="18"/>
      <c r="X135" s="30"/>
      <c r="Y135" s="30"/>
      <c r="Z135" s="30"/>
      <c r="AA135" s="30"/>
      <c r="AB135" s="34"/>
      <c r="AC135" s="30"/>
      <c r="AD135" s="30"/>
      <c r="AE135" s="30"/>
      <c r="AF135" s="30"/>
      <c r="AG135" s="30"/>
      <c r="AH135" s="30"/>
      <c r="AI135" s="30"/>
      <c r="AJ135" s="30"/>
      <c r="AK135" s="30"/>
      <c r="AL135" s="30"/>
      <c r="AM135" s="30"/>
      <c r="AN135" s="30"/>
      <c r="AO135" s="30"/>
    </row>
    <row r="136" spans="1:41" s="39" customFormat="1" ht="18" customHeight="1">
      <c r="A136" s="32">
        <v>17</v>
      </c>
      <c r="B136" s="107"/>
      <c r="C136" s="20" t="str">
        <f>IF(A136="","VARA",VLOOKUP(A136,'[1]varas'!$A$4:$B$67,2))</f>
        <v>17ª VT Recife</v>
      </c>
      <c r="D136" s="15"/>
      <c r="E136" s="16"/>
      <c r="F136" s="15">
        <f>9+11</f>
        <v>20</v>
      </c>
      <c r="G136" s="15">
        <v>0</v>
      </c>
      <c r="H136" s="15">
        <v>0</v>
      </c>
      <c r="I136" s="17">
        <f>SUM(F136:H136)</f>
        <v>20</v>
      </c>
      <c r="J136" s="15">
        <v>2</v>
      </c>
      <c r="K136" s="15">
        <v>1</v>
      </c>
      <c r="L136" s="15">
        <v>0</v>
      </c>
      <c r="M136" s="15">
        <v>1</v>
      </c>
      <c r="N136" s="15">
        <v>0</v>
      </c>
      <c r="O136" s="15">
        <v>10</v>
      </c>
      <c r="P136" s="15">
        <f>SUM(J136:O136)</f>
        <v>14</v>
      </c>
      <c r="Q136" s="15">
        <v>6</v>
      </c>
      <c r="R136" s="15">
        <v>0</v>
      </c>
      <c r="S136" s="15">
        <v>0</v>
      </c>
      <c r="T136" s="15">
        <v>0</v>
      </c>
      <c r="U136" s="15">
        <v>35</v>
      </c>
      <c r="V136" s="18"/>
      <c r="W136" s="18"/>
      <c r="X136" s="30"/>
      <c r="Y136" s="30"/>
      <c r="Z136" s="30"/>
      <c r="AA136" s="30"/>
      <c r="AB136" s="34"/>
      <c r="AC136" s="30"/>
      <c r="AD136" s="30"/>
      <c r="AE136" s="30"/>
      <c r="AF136" s="30"/>
      <c r="AG136" s="30"/>
      <c r="AH136" s="30"/>
      <c r="AI136" s="30"/>
      <c r="AJ136" s="30"/>
      <c r="AK136" s="30"/>
      <c r="AL136" s="30"/>
      <c r="AM136" s="30"/>
      <c r="AN136" s="30"/>
      <c r="AO136" s="30"/>
    </row>
    <row r="137" spans="1:41" s="39" customFormat="1" ht="18" customHeight="1">
      <c r="A137" s="32">
        <v>19</v>
      </c>
      <c r="B137" s="107"/>
      <c r="C137" s="20" t="str">
        <f>IF(A137="","VARA",VLOOKUP(A137,'[1]varas'!$A$4:$B$67,2))</f>
        <v>19ª VT Recife</v>
      </c>
      <c r="D137" s="15"/>
      <c r="E137" s="16"/>
      <c r="F137" s="15">
        <v>9</v>
      </c>
      <c r="G137" s="15">
        <v>0</v>
      </c>
      <c r="H137" s="15">
        <v>0</v>
      </c>
      <c r="I137" s="17">
        <f>SUM(F137:H137)</f>
        <v>9</v>
      </c>
      <c r="J137" s="15">
        <v>1</v>
      </c>
      <c r="K137" s="15">
        <v>2</v>
      </c>
      <c r="L137" s="15">
        <v>0</v>
      </c>
      <c r="M137" s="15">
        <v>0</v>
      </c>
      <c r="N137" s="15">
        <v>0</v>
      </c>
      <c r="O137" s="15">
        <v>2</v>
      </c>
      <c r="P137" s="15">
        <f>SUM(J137:O137)</f>
        <v>5</v>
      </c>
      <c r="Q137" s="15">
        <v>0</v>
      </c>
      <c r="R137" s="15">
        <v>4</v>
      </c>
      <c r="S137" s="15">
        <v>0</v>
      </c>
      <c r="T137" s="15">
        <v>0</v>
      </c>
      <c r="U137" s="15">
        <v>16</v>
      </c>
      <c r="V137" s="18"/>
      <c r="W137" s="18"/>
      <c r="X137" s="30"/>
      <c r="Y137" s="30"/>
      <c r="Z137" s="30"/>
      <c r="AA137" s="30"/>
      <c r="AB137" s="34"/>
      <c r="AC137" s="30"/>
      <c r="AD137" s="30"/>
      <c r="AE137" s="30"/>
      <c r="AF137" s="30"/>
      <c r="AG137" s="30"/>
      <c r="AH137" s="30"/>
      <c r="AI137" s="30"/>
      <c r="AJ137" s="30"/>
      <c r="AK137" s="30"/>
      <c r="AL137" s="30"/>
      <c r="AM137" s="30"/>
      <c r="AN137" s="30"/>
      <c r="AO137" s="30"/>
    </row>
    <row r="138" spans="1:41" s="39" customFormat="1" ht="20.25" customHeight="1">
      <c r="A138" s="32">
        <v>48</v>
      </c>
      <c r="B138" s="107"/>
      <c r="C138" s="20" t="str">
        <f>IF(A138="","VARA",VLOOKUP(A138,'[1]varas'!$A$4:$B$67,2))</f>
        <v>VT Catende</v>
      </c>
      <c r="D138" s="15"/>
      <c r="E138" s="16"/>
      <c r="F138" s="15">
        <f>30+140+13+2</f>
        <v>185</v>
      </c>
      <c r="G138" s="15">
        <v>0</v>
      </c>
      <c r="H138" s="15">
        <v>0</v>
      </c>
      <c r="I138" s="17">
        <f>SUM(F138:H138)</f>
        <v>185</v>
      </c>
      <c r="J138" s="15">
        <v>2</v>
      </c>
      <c r="K138" s="15">
        <v>1</v>
      </c>
      <c r="L138" s="15">
        <v>13</v>
      </c>
      <c r="M138" s="15">
        <v>2</v>
      </c>
      <c r="N138" s="15">
        <v>0</v>
      </c>
      <c r="O138" s="15">
        <v>140</v>
      </c>
      <c r="P138" s="15">
        <f>SUM(J138:O138)</f>
        <v>158</v>
      </c>
      <c r="Q138" s="15">
        <v>0</v>
      </c>
      <c r="R138" s="15">
        <v>27</v>
      </c>
      <c r="S138" s="15">
        <v>0</v>
      </c>
      <c r="T138" s="15">
        <v>0</v>
      </c>
      <c r="U138" s="15">
        <v>351</v>
      </c>
      <c r="V138" s="18"/>
      <c r="W138" s="18"/>
      <c r="X138" s="30"/>
      <c r="Y138" s="30"/>
      <c r="Z138" s="30"/>
      <c r="AA138" s="30"/>
      <c r="AB138" s="34"/>
      <c r="AC138" s="30"/>
      <c r="AD138" s="30"/>
      <c r="AE138" s="30"/>
      <c r="AF138" s="30"/>
      <c r="AG138" s="30"/>
      <c r="AH138" s="30"/>
      <c r="AI138" s="30"/>
      <c r="AJ138" s="30"/>
      <c r="AK138" s="30"/>
      <c r="AL138" s="30"/>
      <c r="AM138" s="30"/>
      <c r="AN138" s="30"/>
      <c r="AO138" s="30"/>
    </row>
    <row r="139" spans="1:41" s="39" customFormat="1" ht="18" customHeight="1">
      <c r="A139" s="32">
        <v>50</v>
      </c>
      <c r="B139" s="107"/>
      <c r="C139" s="20" t="str">
        <f>IF(A139="","VARA",VLOOKUP(A139,'[1]varas'!$A$4:$B$67,2))</f>
        <v>VT Garanhuns</v>
      </c>
      <c r="D139" s="15"/>
      <c r="E139" s="16"/>
      <c r="F139" s="15">
        <v>0</v>
      </c>
      <c r="G139" s="15">
        <v>0</v>
      </c>
      <c r="H139" s="15">
        <v>1</v>
      </c>
      <c r="I139" s="17">
        <f>SUM(F139:H139)</f>
        <v>1</v>
      </c>
      <c r="J139" s="15">
        <v>0</v>
      </c>
      <c r="K139" s="15">
        <v>0</v>
      </c>
      <c r="L139" s="15">
        <v>0</v>
      </c>
      <c r="M139" s="15">
        <v>0</v>
      </c>
      <c r="N139" s="15">
        <v>0</v>
      </c>
      <c r="O139" s="15">
        <v>0</v>
      </c>
      <c r="P139" s="15">
        <f>SUM(J139:O139)</f>
        <v>0</v>
      </c>
      <c r="Q139" s="15">
        <v>0</v>
      </c>
      <c r="R139" s="15">
        <v>1</v>
      </c>
      <c r="S139" s="15">
        <v>0</v>
      </c>
      <c r="T139" s="15">
        <v>0</v>
      </c>
      <c r="U139" s="15">
        <v>0</v>
      </c>
      <c r="V139" s="18"/>
      <c r="W139" s="18"/>
      <c r="X139" s="30"/>
      <c r="Y139" s="30"/>
      <c r="Z139" s="30"/>
      <c r="AA139" s="30"/>
      <c r="AB139" s="34"/>
      <c r="AC139" s="30"/>
      <c r="AD139" s="30"/>
      <c r="AE139" s="30"/>
      <c r="AF139" s="30"/>
      <c r="AG139" s="30"/>
      <c r="AH139" s="30"/>
      <c r="AI139" s="30"/>
      <c r="AJ139" s="30"/>
      <c r="AK139" s="30"/>
      <c r="AL139" s="30"/>
      <c r="AM139" s="30"/>
      <c r="AN139" s="30"/>
      <c r="AO139" s="30"/>
    </row>
    <row r="140" spans="1:41" s="53" customFormat="1" ht="18" customHeight="1">
      <c r="A140" s="47"/>
      <c r="B140" s="107"/>
      <c r="C140" s="20" t="s">
        <v>12</v>
      </c>
      <c r="D140" s="24"/>
      <c r="E140" s="48"/>
      <c r="F140" s="24">
        <f>SUM(F135:F139)</f>
        <v>214</v>
      </c>
      <c r="G140" s="24">
        <f>SUM(G135:G139)</f>
        <v>0</v>
      </c>
      <c r="H140" s="24">
        <f>SUM(H135:H139)</f>
        <v>1</v>
      </c>
      <c r="I140" s="40">
        <f>SUM(F140:H140)</f>
        <v>215</v>
      </c>
      <c r="J140" s="24">
        <f aca="true" t="shared" si="41" ref="J140:O140">SUM(J135:J139)</f>
        <v>5</v>
      </c>
      <c r="K140" s="24">
        <f t="shared" si="41"/>
        <v>4</v>
      </c>
      <c r="L140" s="24">
        <f t="shared" si="41"/>
        <v>13</v>
      </c>
      <c r="M140" s="24">
        <f t="shared" si="41"/>
        <v>3</v>
      </c>
      <c r="N140" s="24">
        <f t="shared" si="41"/>
        <v>0</v>
      </c>
      <c r="O140" s="24">
        <f t="shared" si="41"/>
        <v>152</v>
      </c>
      <c r="P140" s="24">
        <f>SUM(J140:O140)</f>
        <v>177</v>
      </c>
      <c r="Q140" s="24">
        <f>SUM(Q135:Q139)</f>
        <v>6</v>
      </c>
      <c r="R140" s="24">
        <f>SUM(R135:R139)</f>
        <v>32</v>
      </c>
      <c r="S140" s="24">
        <f>SUM(S135:S139)</f>
        <v>0</v>
      </c>
      <c r="T140" s="24">
        <f>SUM(T135:T139)</f>
        <v>0</v>
      </c>
      <c r="U140" s="24">
        <f>SUM(U135:U139)</f>
        <v>402</v>
      </c>
      <c r="V140" s="26">
        <f>IF(I140-Q140=0,"",IF(D140="",(P140+S140)/(I140-Q140),IF(AND(D140&lt;&gt;"",(P140+S140)/(I140-Q140)&gt;=50%),(P140+S140)/(I140-Q140),"")))</f>
        <v>0.84688995215311</v>
      </c>
      <c r="W140" s="26">
        <f>IF(I140=O140,"",IF(V140="",0,(P140+Q140+S140-O140)/(I140-O140)))</f>
        <v>0.49206349206349204</v>
      </c>
      <c r="X140" s="49"/>
      <c r="Y140" s="49"/>
      <c r="Z140" s="49"/>
      <c r="AA140" s="49"/>
      <c r="AB140" s="50"/>
      <c r="AC140" s="49"/>
      <c r="AD140" s="49"/>
      <c r="AE140" s="49"/>
      <c r="AF140" s="49"/>
      <c r="AG140" s="49"/>
      <c r="AH140" s="49"/>
      <c r="AI140" s="49"/>
      <c r="AJ140" s="49"/>
      <c r="AK140" s="49"/>
      <c r="AL140" s="49"/>
      <c r="AM140" s="49"/>
      <c r="AN140" s="49"/>
      <c r="AO140" s="49"/>
    </row>
    <row r="141" spans="1:41" s="39" customFormat="1" ht="19.5" customHeight="1">
      <c r="A141" s="32"/>
      <c r="B141" s="107" t="s">
        <v>61</v>
      </c>
      <c r="C141" s="14" t="s">
        <v>2</v>
      </c>
      <c r="D141" s="29"/>
      <c r="E141" s="16" t="s">
        <v>27</v>
      </c>
      <c r="F141" s="15"/>
      <c r="G141" s="15"/>
      <c r="H141" s="15"/>
      <c r="I141" s="17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8"/>
      <c r="W141" s="18"/>
      <c r="X141" s="30"/>
      <c r="Y141" s="30"/>
      <c r="Z141" s="30"/>
      <c r="AA141" s="30"/>
      <c r="AB141" s="34"/>
      <c r="AC141" s="30"/>
      <c r="AD141" s="30"/>
      <c r="AE141" s="30"/>
      <c r="AF141" s="30"/>
      <c r="AG141" s="30"/>
      <c r="AH141" s="30"/>
      <c r="AI141" s="30"/>
      <c r="AJ141" s="30"/>
      <c r="AK141" s="30"/>
      <c r="AL141" s="30"/>
      <c r="AM141" s="30"/>
      <c r="AN141" s="30"/>
      <c r="AO141" s="30"/>
    </row>
    <row r="142" spans="1:41" s="39" customFormat="1" ht="20.25" customHeight="1">
      <c r="A142" s="32">
        <v>28</v>
      </c>
      <c r="B142" s="107"/>
      <c r="C142" s="20" t="str">
        <f>IF(A142="","VARA",VLOOKUP(A142,'[1]varas'!$A$4:$B$67,2))</f>
        <v>1ª VT Caruaru</v>
      </c>
      <c r="D142" s="15"/>
      <c r="E142" s="16"/>
      <c r="F142" s="15">
        <f>49+53+19+2</f>
        <v>123</v>
      </c>
      <c r="G142" s="15">
        <v>0</v>
      </c>
      <c r="H142" s="15">
        <v>0</v>
      </c>
      <c r="I142" s="17">
        <f>SUM(F142:H142)</f>
        <v>123</v>
      </c>
      <c r="J142" s="15">
        <v>37</v>
      </c>
      <c r="K142" s="15">
        <v>10</v>
      </c>
      <c r="L142" s="15">
        <v>19</v>
      </c>
      <c r="M142" s="15">
        <v>2</v>
      </c>
      <c r="N142" s="15">
        <v>0</v>
      </c>
      <c r="O142" s="15">
        <v>53</v>
      </c>
      <c r="P142" s="15">
        <f>SUM(J142:O142)</f>
        <v>121</v>
      </c>
      <c r="Q142" s="15">
        <v>2</v>
      </c>
      <c r="R142" s="15">
        <v>0</v>
      </c>
      <c r="S142" s="15">
        <v>0</v>
      </c>
      <c r="T142" s="15">
        <v>0</v>
      </c>
      <c r="U142" s="15">
        <v>167</v>
      </c>
      <c r="V142" s="18"/>
      <c r="W142" s="18"/>
      <c r="X142" s="30"/>
      <c r="Y142" s="30"/>
      <c r="Z142" s="30"/>
      <c r="AA142" s="30"/>
      <c r="AB142" s="34"/>
      <c r="AC142" s="30"/>
      <c r="AD142" s="30"/>
      <c r="AE142" s="30"/>
      <c r="AF142" s="30"/>
      <c r="AG142" s="30"/>
      <c r="AH142" s="30"/>
      <c r="AI142" s="30"/>
      <c r="AJ142" s="30"/>
      <c r="AK142" s="30"/>
      <c r="AL142" s="30"/>
      <c r="AM142" s="30"/>
      <c r="AN142" s="30"/>
      <c r="AO142" s="30"/>
    </row>
    <row r="143" spans="1:41" s="39" customFormat="1" ht="21" customHeight="1">
      <c r="A143" s="32">
        <v>29</v>
      </c>
      <c r="B143" s="107"/>
      <c r="C143" s="20" t="str">
        <f>IF(A143="","VARA",VLOOKUP(A143,'[1]varas'!$A$4:$B$67,2))</f>
        <v>2ª VT Caruaru</v>
      </c>
      <c r="D143" s="15"/>
      <c r="E143" s="16"/>
      <c r="F143" s="15">
        <v>1</v>
      </c>
      <c r="G143" s="15">
        <v>0</v>
      </c>
      <c r="H143" s="15">
        <v>0</v>
      </c>
      <c r="I143" s="17">
        <f>SUM(F143:H143)</f>
        <v>1</v>
      </c>
      <c r="J143" s="15">
        <v>0</v>
      </c>
      <c r="K143" s="15">
        <v>0</v>
      </c>
      <c r="L143" s="15">
        <v>1</v>
      </c>
      <c r="M143" s="15">
        <v>0</v>
      </c>
      <c r="N143" s="15">
        <v>0</v>
      </c>
      <c r="O143" s="15">
        <v>0</v>
      </c>
      <c r="P143" s="15">
        <f>SUM(J143:O143)</f>
        <v>1</v>
      </c>
      <c r="Q143" s="15">
        <v>0</v>
      </c>
      <c r="R143" s="15">
        <v>0</v>
      </c>
      <c r="S143" s="15">
        <v>0</v>
      </c>
      <c r="T143" s="15">
        <v>0</v>
      </c>
      <c r="U143" s="15">
        <v>0</v>
      </c>
      <c r="V143" s="18"/>
      <c r="W143" s="18"/>
      <c r="X143" s="30"/>
      <c r="Y143" s="30"/>
      <c r="Z143" s="30"/>
      <c r="AA143" s="30"/>
      <c r="AB143" s="34"/>
      <c r="AC143" s="30"/>
      <c r="AD143" s="30"/>
      <c r="AE143" s="30"/>
      <c r="AF143" s="30"/>
      <c r="AG143" s="30"/>
      <c r="AH143" s="30"/>
      <c r="AI143" s="30"/>
      <c r="AJ143" s="30"/>
      <c r="AK143" s="30"/>
      <c r="AL143" s="30"/>
      <c r="AM143" s="30"/>
      <c r="AN143" s="30"/>
      <c r="AO143" s="30"/>
    </row>
    <row r="144" spans="1:41" s="39" customFormat="1" ht="17.25" customHeight="1">
      <c r="A144" s="32">
        <v>30</v>
      </c>
      <c r="B144" s="107"/>
      <c r="C144" s="20" t="str">
        <f>IF(A144="","VARA",VLOOKUP(A144,'[1]varas'!$A$4:$B$67,2))</f>
        <v>3ª VT Caruaru</v>
      </c>
      <c r="D144" s="15"/>
      <c r="E144" s="16"/>
      <c r="F144" s="15">
        <v>11</v>
      </c>
      <c r="G144" s="15">
        <v>0</v>
      </c>
      <c r="H144" s="15">
        <v>0</v>
      </c>
      <c r="I144" s="17">
        <f>SUM(F144:H144)</f>
        <v>11</v>
      </c>
      <c r="J144" s="15">
        <v>10</v>
      </c>
      <c r="K144" s="15">
        <v>0</v>
      </c>
      <c r="L144" s="15">
        <v>0</v>
      </c>
      <c r="M144" s="15">
        <v>0</v>
      </c>
      <c r="N144" s="15">
        <v>0</v>
      </c>
      <c r="O144" s="15">
        <v>1</v>
      </c>
      <c r="P144" s="15">
        <f>SUM(J144:O144)</f>
        <v>11</v>
      </c>
      <c r="Q144" s="15">
        <v>0</v>
      </c>
      <c r="R144" s="15">
        <v>0</v>
      </c>
      <c r="S144" s="15">
        <v>0</v>
      </c>
      <c r="T144" s="15">
        <v>0</v>
      </c>
      <c r="U144" s="15">
        <v>10</v>
      </c>
      <c r="V144" s="18"/>
      <c r="W144" s="18"/>
      <c r="X144" s="30"/>
      <c r="Y144" s="30"/>
      <c r="Z144" s="30"/>
      <c r="AA144" s="30"/>
      <c r="AB144" s="34"/>
      <c r="AC144" s="30"/>
      <c r="AD144" s="30"/>
      <c r="AE144" s="30"/>
      <c r="AF144" s="30"/>
      <c r="AG144" s="30"/>
      <c r="AH144" s="30"/>
      <c r="AI144" s="30"/>
      <c r="AJ144" s="30"/>
      <c r="AK144" s="30"/>
      <c r="AL144" s="30"/>
      <c r="AM144" s="30"/>
      <c r="AN144" s="30"/>
      <c r="AO144" s="30"/>
    </row>
    <row r="145" spans="1:41" s="53" customFormat="1" ht="18" customHeight="1">
      <c r="A145" s="47"/>
      <c r="B145" s="107"/>
      <c r="C145" s="20" t="s">
        <v>12</v>
      </c>
      <c r="D145" s="24"/>
      <c r="E145" s="48"/>
      <c r="F145" s="24">
        <f>SUM(F141:F144)</f>
        <v>135</v>
      </c>
      <c r="G145" s="24">
        <f>SUM(G141:G144)</f>
        <v>0</v>
      </c>
      <c r="H145" s="24">
        <f>SUM(H141:H144)</f>
        <v>0</v>
      </c>
      <c r="I145" s="40">
        <f>SUM(F145:H145)</f>
        <v>135</v>
      </c>
      <c r="J145" s="24">
        <f aca="true" t="shared" si="42" ref="J145:O145">SUM(J141:J144)</f>
        <v>47</v>
      </c>
      <c r="K145" s="24">
        <f t="shared" si="42"/>
        <v>10</v>
      </c>
      <c r="L145" s="24">
        <f t="shared" si="42"/>
        <v>20</v>
      </c>
      <c r="M145" s="24">
        <f t="shared" si="42"/>
        <v>2</v>
      </c>
      <c r="N145" s="24">
        <f t="shared" si="42"/>
        <v>0</v>
      </c>
      <c r="O145" s="24">
        <f t="shared" si="42"/>
        <v>54</v>
      </c>
      <c r="P145" s="24">
        <f>SUM(J145:O145)</f>
        <v>133</v>
      </c>
      <c r="Q145" s="24">
        <f>SUM(Q141:Q144)</f>
        <v>2</v>
      </c>
      <c r="R145" s="24">
        <f>SUM(R141:R144)</f>
        <v>0</v>
      </c>
      <c r="S145" s="24">
        <f>SUM(S141:S144)</f>
        <v>0</v>
      </c>
      <c r="T145" s="24">
        <f>SUM(T141:T144)</f>
        <v>0</v>
      </c>
      <c r="U145" s="24">
        <f>SUM(U141:U144)</f>
        <v>177</v>
      </c>
      <c r="V145" s="26">
        <f>IF(I145-Q145=0,"",IF(D145="",(P145+S145)/(I145-Q145),IF(AND(D145&lt;&gt;"",(P145+S145)/(I145-Q145)&gt;=50%),(P145+S145)/(I145-Q145),"")))</f>
        <v>1</v>
      </c>
      <c r="W145" s="26">
        <f>IF(I145=O145,"",IF(V145="",0,(P145+Q145+S145-O145)/(I145-O145)))</f>
        <v>1</v>
      </c>
      <c r="X145" s="49"/>
      <c r="Y145" s="49"/>
      <c r="Z145" s="49"/>
      <c r="AA145" s="49"/>
      <c r="AB145" s="50"/>
      <c r="AC145" s="49"/>
      <c r="AD145" s="49"/>
      <c r="AE145" s="49"/>
      <c r="AF145" s="49"/>
      <c r="AG145" s="49"/>
      <c r="AH145" s="49"/>
      <c r="AI145" s="49"/>
      <c r="AJ145" s="49"/>
      <c r="AK145" s="49"/>
      <c r="AL145" s="49"/>
      <c r="AM145" s="49"/>
      <c r="AN145" s="49"/>
      <c r="AO145" s="49"/>
    </row>
    <row r="146" spans="1:41" s="39" customFormat="1" ht="23.25" customHeight="1">
      <c r="A146" s="32"/>
      <c r="B146" s="107" t="s">
        <v>62</v>
      </c>
      <c r="C146" s="14" t="s">
        <v>2</v>
      </c>
      <c r="D146" s="29"/>
      <c r="E146" s="16" t="s">
        <v>27</v>
      </c>
      <c r="F146" s="15"/>
      <c r="G146" s="15"/>
      <c r="H146" s="15"/>
      <c r="I146" s="17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8"/>
      <c r="W146" s="18"/>
      <c r="X146" s="30"/>
      <c r="Y146" s="30"/>
      <c r="Z146" s="30"/>
      <c r="AA146" s="30"/>
      <c r="AB146" s="34"/>
      <c r="AC146" s="30"/>
      <c r="AD146" s="30"/>
      <c r="AE146" s="30"/>
      <c r="AF146" s="30"/>
      <c r="AG146" s="30"/>
      <c r="AH146" s="30"/>
      <c r="AI146" s="30"/>
      <c r="AJ146" s="30"/>
      <c r="AK146" s="30"/>
      <c r="AL146" s="30"/>
      <c r="AM146" s="30"/>
      <c r="AN146" s="30"/>
      <c r="AO146" s="30"/>
    </row>
    <row r="147" spans="1:41" s="39" customFormat="1" ht="18" customHeight="1">
      <c r="A147" s="32">
        <v>8</v>
      </c>
      <c r="B147" s="107"/>
      <c r="C147" s="20" t="str">
        <f>IF(A147="","VARA",VLOOKUP(A147,'[1]varas'!$A$4:$B$67,2))</f>
        <v>8ª VT Recife</v>
      </c>
      <c r="D147" s="15"/>
      <c r="E147" s="16"/>
      <c r="F147" s="15">
        <f>49+33+16+5+9</f>
        <v>112</v>
      </c>
      <c r="G147" s="15">
        <v>11</v>
      </c>
      <c r="H147" s="15">
        <v>54</v>
      </c>
      <c r="I147" s="17">
        <f>SUM(F147:H147)</f>
        <v>177</v>
      </c>
      <c r="J147" s="15">
        <v>33</v>
      </c>
      <c r="K147" s="15">
        <v>11</v>
      </c>
      <c r="L147" s="15">
        <v>17</v>
      </c>
      <c r="M147" s="15">
        <v>6</v>
      </c>
      <c r="N147" s="15">
        <v>9</v>
      </c>
      <c r="O147" s="15">
        <v>33</v>
      </c>
      <c r="P147" s="15">
        <f>SUM(J147:O147)</f>
        <v>109</v>
      </c>
      <c r="Q147" s="15">
        <v>11</v>
      </c>
      <c r="R147" s="15">
        <v>56</v>
      </c>
      <c r="S147" s="15">
        <v>0</v>
      </c>
      <c r="T147" s="15">
        <v>1</v>
      </c>
      <c r="U147" s="15">
        <v>145</v>
      </c>
      <c r="V147" s="18"/>
      <c r="W147" s="18"/>
      <c r="X147" s="30"/>
      <c r="Y147" s="30"/>
      <c r="Z147" s="30"/>
      <c r="AA147" s="30"/>
      <c r="AB147" s="34"/>
      <c r="AC147" s="30"/>
      <c r="AD147" s="30"/>
      <c r="AE147" s="30"/>
      <c r="AF147" s="30"/>
      <c r="AG147" s="30"/>
      <c r="AH147" s="30"/>
      <c r="AI147" s="30"/>
      <c r="AJ147" s="30"/>
      <c r="AK147" s="30"/>
      <c r="AL147" s="30"/>
      <c r="AM147" s="30"/>
      <c r="AN147" s="30"/>
      <c r="AO147" s="30"/>
    </row>
    <row r="148" spans="1:41" s="39" customFormat="1" ht="15.75" customHeight="1">
      <c r="A148" s="32"/>
      <c r="B148" s="107"/>
      <c r="C148" s="21" t="s">
        <v>12</v>
      </c>
      <c r="D148" s="33"/>
      <c r="E148" s="23"/>
      <c r="F148" s="24">
        <f>SUM(F146:F147)</f>
        <v>112</v>
      </c>
      <c r="G148" s="24">
        <f>SUM(G146:G147)</f>
        <v>11</v>
      </c>
      <c r="H148" s="24">
        <f>SUM(H146:H147)</f>
        <v>54</v>
      </c>
      <c r="I148" s="40">
        <f>SUM(F148:H148)</f>
        <v>177</v>
      </c>
      <c r="J148" s="24">
        <f aca="true" t="shared" si="43" ref="J148:O148">SUM(J146:J147)</f>
        <v>33</v>
      </c>
      <c r="K148" s="24">
        <f t="shared" si="43"/>
        <v>11</v>
      </c>
      <c r="L148" s="24">
        <f t="shared" si="43"/>
        <v>17</v>
      </c>
      <c r="M148" s="24">
        <f t="shared" si="43"/>
        <v>6</v>
      </c>
      <c r="N148" s="24">
        <f t="shared" si="43"/>
        <v>9</v>
      </c>
      <c r="O148" s="24">
        <f t="shared" si="43"/>
        <v>33</v>
      </c>
      <c r="P148" s="24">
        <f>SUM(J148:O148)</f>
        <v>109</v>
      </c>
      <c r="Q148" s="24">
        <f>SUM(Q146:Q147)</f>
        <v>11</v>
      </c>
      <c r="R148" s="24">
        <f>SUM(R146:R147)</f>
        <v>56</v>
      </c>
      <c r="S148" s="24">
        <f>SUM(S146:S147)</f>
        <v>0</v>
      </c>
      <c r="T148" s="24">
        <f>SUM(T146:T147)</f>
        <v>1</v>
      </c>
      <c r="U148" s="24">
        <f>SUM(U146:U147)</f>
        <v>145</v>
      </c>
      <c r="V148" s="26">
        <f>IF(I148-Q148=0,"",IF(D148="",(P148+S148)/(I148-Q148),IF(AND(D148&lt;&gt;"",(P148+S148)/(I148-Q148)&gt;=50%),(P148+S148)/(I148-Q148),"")))</f>
        <v>0.6566265060240963</v>
      </c>
      <c r="W148" s="26">
        <f>IF(I148=O148,"",IF(V148="",0,(P148+Q148+S148-O148)/(I148-O148)))</f>
        <v>0.6041666666666666</v>
      </c>
      <c r="X148" s="30"/>
      <c r="Y148" s="30"/>
      <c r="Z148" s="30"/>
      <c r="AA148" s="30"/>
      <c r="AB148" s="34"/>
      <c r="AC148" s="30"/>
      <c r="AD148" s="30"/>
      <c r="AE148" s="30"/>
      <c r="AF148" s="30"/>
      <c r="AG148" s="30"/>
      <c r="AH148" s="30"/>
      <c r="AI148" s="30"/>
      <c r="AJ148" s="30"/>
      <c r="AK148" s="30"/>
      <c r="AL148" s="30"/>
      <c r="AM148" s="30"/>
      <c r="AN148" s="30"/>
      <c r="AO148" s="30"/>
    </row>
    <row r="149" spans="1:41" s="39" customFormat="1" ht="18" customHeight="1">
      <c r="A149" s="32"/>
      <c r="B149" s="107" t="s">
        <v>63</v>
      </c>
      <c r="C149" s="14" t="s">
        <v>2</v>
      </c>
      <c r="D149" s="29" t="s">
        <v>30</v>
      </c>
      <c r="E149" s="16" t="s">
        <v>201</v>
      </c>
      <c r="F149" s="15"/>
      <c r="G149" s="15"/>
      <c r="H149" s="15"/>
      <c r="I149" s="17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8"/>
      <c r="W149" s="18"/>
      <c r="X149" s="30"/>
      <c r="Y149" s="30"/>
      <c r="Z149" s="30"/>
      <c r="AA149" s="30"/>
      <c r="AB149" s="34"/>
      <c r="AC149" s="30"/>
      <c r="AD149" s="30"/>
      <c r="AE149" s="30"/>
      <c r="AF149" s="30"/>
      <c r="AG149" s="30"/>
      <c r="AH149" s="30"/>
      <c r="AI149" s="30"/>
      <c r="AJ149" s="30"/>
      <c r="AK149" s="30"/>
      <c r="AL149" s="30"/>
      <c r="AM149" s="30"/>
      <c r="AN149" s="30"/>
      <c r="AO149" s="30"/>
    </row>
    <row r="150" spans="1:41" s="39" customFormat="1" ht="20.25" customHeight="1">
      <c r="A150" s="32">
        <v>18</v>
      </c>
      <c r="B150" s="107"/>
      <c r="C150" s="20" t="str">
        <f>IF(A150="","VARA",VLOOKUP(A150,'[1]varas'!$A$4:$B$67,2))</f>
        <v>18ª VT Recife</v>
      </c>
      <c r="D150" s="29"/>
      <c r="E150" s="16"/>
      <c r="F150" s="15">
        <v>0</v>
      </c>
      <c r="G150" s="15">
        <v>0</v>
      </c>
      <c r="H150" s="15">
        <v>4</v>
      </c>
      <c r="I150" s="17">
        <f aca="true" t="shared" si="44" ref="I150:I155">SUM(F150:H150)</f>
        <v>4</v>
      </c>
      <c r="J150" s="15">
        <v>3</v>
      </c>
      <c r="K150" s="15">
        <v>0</v>
      </c>
      <c r="L150" s="15">
        <v>0</v>
      </c>
      <c r="M150" s="15">
        <v>0</v>
      </c>
      <c r="N150" s="15">
        <v>0</v>
      </c>
      <c r="O150" s="15">
        <v>0</v>
      </c>
      <c r="P150" s="15">
        <f aca="true" t="shared" si="45" ref="P150:P155">SUM(J150:O150)</f>
        <v>3</v>
      </c>
      <c r="Q150" s="15">
        <v>0</v>
      </c>
      <c r="R150" s="15">
        <v>1</v>
      </c>
      <c r="S150" s="15">
        <v>0</v>
      </c>
      <c r="T150" s="15">
        <v>0</v>
      </c>
      <c r="U150" s="15">
        <v>0</v>
      </c>
      <c r="V150" s="18"/>
      <c r="W150" s="18"/>
      <c r="X150" s="30"/>
      <c r="Y150" s="30"/>
      <c r="Z150" s="30"/>
      <c r="AA150" s="30"/>
      <c r="AB150" s="34"/>
      <c r="AC150" s="30"/>
      <c r="AD150" s="30"/>
      <c r="AE150" s="30"/>
      <c r="AF150" s="30"/>
      <c r="AG150" s="30"/>
      <c r="AH150" s="30"/>
      <c r="AI150" s="30"/>
      <c r="AJ150" s="30"/>
      <c r="AK150" s="30"/>
      <c r="AL150" s="30"/>
      <c r="AM150" s="30"/>
      <c r="AN150" s="30"/>
      <c r="AO150" s="30"/>
    </row>
    <row r="151" spans="1:41" s="39" customFormat="1" ht="20.25" customHeight="1">
      <c r="A151" s="32">
        <v>21</v>
      </c>
      <c r="B151" s="107"/>
      <c r="C151" s="20" t="str">
        <f>IF(A151="","VARA",VLOOKUP(A151,'[1]varas'!$A$4:$B$67,2))</f>
        <v>21ª VT Recife</v>
      </c>
      <c r="D151" s="29"/>
      <c r="E151" s="16"/>
      <c r="F151" s="15">
        <v>0</v>
      </c>
      <c r="G151" s="15">
        <v>1</v>
      </c>
      <c r="H151" s="15">
        <v>39</v>
      </c>
      <c r="I151" s="17">
        <f>SUM(F151:H151)</f>
        <v>40</v>
      </c>
      <c r="J151" s="15">
        <v>23</v>
      </c>
      <c r="K151" s="15">
        <v>0</v>
      </c>
      <c r="L151" s="15">
        <v>0</v>
      </c>
      <c r="M151" s="15">
        <v>0</v>
      </c>
      <c r="N151" s="15">
        <v>0</v>
      </c>
      <c r="O151" s="15">
        <v>0</v>
      </c>
      <c r="P151" s="15">
        <f>SUM(J151:O151)</f>
        <v>23</v>
      </c>
      <c r="Q151" s="15">
        <v>0</v>
      </c>
      <c r="R151" s="15">
        <v>17</v>
      </c>
      <c r="S151" s="15">
        <v>0</v>
      </c>
      <c r="T151" s="15">
        <v>0</v>
      </c>
      <c r="U151" s="15">
        <v>0</v>
      </c>
      <c r="V151" s="18"/>
      <c r="W151" s="18"/>
      <c r="X151" s="30"/>
      <c r="Y151" s="30"/>
      <c r="Z151" s="30"/>
      <c r="AA151" s="30"/>
      <c r="AB151" s="34"/>
      <c r="AC151" s="30"/>
      <c r="AD151" s="30"/>
      <c r="AE151" s="30"/>
      <c r="AF151" s="30"/>
      <c r="AG151" s="30"/>
      <c r="AH151" s="30"/>
      <c r="AI151" s="30"/>
      <c r="AJ151" s="30"/>
      <c r="AK151" s="30"/>
      <c r="AL151" s="30"/>
      <c r="AM151" s="30"/>
      <c r="AN151" s="30"/>
      <c r="AO151" s="30"/>
    </row>
    <row r="152" spans="1:41" s="39" customFormat="1" ht="18.75" customHeight="1">
      <c r="A152" s="32">
        <v>66</v>
      </c>
      <c r="B152" s="107"/>
      <c r="C152" s="20" t="s">
        <v>174</v>
      </c>
      <c r="D152" s="29"/>
      <c r="E152" s="16"/>
      <c r="F152" s="15">
        <v>2</v>
      </c>
      <c r="G152" s="15">
        <v>0</v>
      </c>
      <c r="H152" s="15">
        <v>0</v>
      </c>
      <c r="I152" s="17">
        <f t="shared" si="44"/>
        <v>2</v>
      </c>
      <c r="J152" s="15">
        <v>1</v>
      </c>
      <c r="K152" s="15">
        <v>0</v>
      </c>
      <c r="L152" s="15">
        <v>0</v>
      </c>
      <c r="M152" s="15">
        <v>0</v>
      </c>
      <c r="N152" s="15">
        <v>0</v>
      </c>
      <c r="O152" s="15">
        <v>0</v>
      </c>
      <c r="P152" s="15">
        <f t="shared" si="45"/>
        <v>1</v>
      </c>
      <c r="Q152" s="15">
        <v>0</v>
      </c>
      <c r="R152" s="15">
        <v>1</v>
      </c>
      <c r="S152" s="15">
        <v>0</v>
      </c>
      <c r="T152" s="15">
        <v>0</v>
      </c>
      <c r="U152" s="15">
        <v>0</v>
      </c>
      <c r="V152" s="18"/>
      <c r="W152" s="18"/>
      <c r="X152" s="30"/>
      <c r="Y152" s="30"/>
      <c r="Z152" s="30"/>
      <c r="AA152" s="30"/>
      <c r="AB152" s="34"/>
      <c r="AC152" s="30"/>
      <c r="AD152" s="30"/>
      <c r="AE152" s="30"/>
      <c r="AF152" s="30"/>
      <c r="AG152" s="30"/>
      <c r="AH152" s="30"/>
      <c r="AI152" s="30"/>
      <c r="AJ152" s="30"/>
      <c r="AK152" s="30"/>
      <c r="AL152" s="30"/>
      <c r="AM152" s="30"/>
      <c r="AN152" s="30"/>
      <c r="AO152" s="30"/>
    </row>
    <row r="153" spans="1:41" s="39" customFormat="1" ht="21" customHeight="1">
      <c r="A153" s="32">
        <v>50</v>
      </c>
      <c r="B153" s="107"/>
      <c r="C153" s="20" t="str">
        <f>IF(A153="","VARA",VLOOKUP(A153,'[1]varas'!$A$4:$B$67,2))</f>
        <v>VT Garanhuns</v>
      </c>
      <c r="D153" s="29"/>
      <c r="E153" s="16"/>
      <c r="F153" s="15">
        <v>1</v>
      </c>
      <c r="G153" s="15">
        <v>0</v>
      </c>
      <c r="H153" s="15">
        <v>18</v>
      </c>
      <c r="I153" s="17">
        <f t="shared" si="44"/>
        <v>19</v>
      </c>
      <c r="J153" s="15">
        <v>5</v>
      </c>
      <c r="K153" s="15">
        <v>0</v>
      </c>
      <c r="L153" s="15">
        <v>1</v>
      </c>
      <c r="M153" s="15">
        <v>0</v>
      </c>
      <c r="N153" s="15">
        <v>0</v>
      </c>
      <c r="O153" s="15">
        <v>0</v>
      </c>
      <c r="P153" s="15">
        <f t="shared" si="45"/>
        <v>6</v>
      </c>
      <c r="Q153" s="15">
        <v>0</v>
      </c>
      <c r="R153" s="15">
        <v>13</v>
      </c>
      <c r="S153" s="15">
        <v>0</v>
      </c>
      <c r="T153" s="15">
        <v>0</v>
      </c>
      <c r="U153" s="15">
        <v>0</v>
      </c>
      <c r="V153" s="18"/>
      <c r="W153" s="18"/>
      <c r="X153" s="30"/>
      <c r="Y153" s="30"/>
      <c r="Z153" s="30"/>
      <c r="AA153" s="30"/>
      <c r="AB153" s="34"/>
      <c r="AC153" s="30"/>
      <c r="AD153" s="30"/>
      <c r="AE153" s="30"/>
      <c r="AF153" s="30"/>
      <c r="AG153" s="30"/>
      <c r="AH153" s="30"/>
      <c r="AI153" s="30"/>
      <c r="AJ153" s="30"/>
      <c r="AK153" s="30"/>
      <c r="AL153" s="30"/>
      <c r="AM153" s="30"/>
      <c r="AN153" s="30"/>
      <c r="AO153" s="30"/>
    </row>
    <row r="154" spans="1:41" s="39" customFormat="1" ht="21" customHeight="1">
      <c r="A154" s="32">
        <v>27</v>
      </c>
      <c r="B154" s="107"/>
      <c r="C154" s="20" t="str">
        <f>IF(A154="","VARA",VLOOKUP(A154,'[1]varas'!$A$4:$B$67,2))</f>
        <v>2ª VT Cabo</v>
      </c>
      <c r="D154" s="29"/>
      <c r="E154" s="16"/>
      <c r="F154" s="15">
        <v>0</v>
      </c>
      <c r="G154" s="15">
        <v>0</v>
      </c>
      <c r="H154" s="15">
        <v>1</v>
      </c>
      <c r="I154" s="17">
        <f>SUM(F154:H154)</f>
        <v>1</v>
      </c>
      <c r="J154" s="15">
        <v>1</v>
      </c>
      <c r="K154" s="15">
        <v>0</v>
      </c>
      <c r="L154" s="15">
        <v>0</v>
      </c>
      <c r="M154" s="15">
        <v>0</v>
      </c>
      <c r="N154" s="15">
        <v>0</v>
      </c>
      <c r="O154" s="15">
        <v>0</v>
      </c>
      <c r="P154" s="15">
        <f>SUM(J154:O154)</f>
        <v>1</v>
      </c>
      <c r="Q154" s="15">
        <v>0</v>
      </c>
      <c r="R154" s="15">
        <v>0</v>
      </c>
      <c r="S154" s="15">
        <v>0</v>
      </c>
      <c r="T154" s="15">
        <v>0</v>
      </c>
      <c r="U154" s="15">
        <v>0</v>
      </c>
      <c r="V154" s="18"/>
      <c r="W154" s="18"/>
      <c r="X154" s="30"/>
      <c r="Y154" s="30"/>
      <c r="Z154" s="30"/>
      <c r="AA154" s="30"/>
      <c r="AB154" s="34"/>
      <c r="AC154" s="30"/>
      <c r="AD154" s="30"/>
      <c r="AE154" s="30"/>
      <c r="AF154" s="30"/>
      <c r="AG154" s="30"/>
      <c r="AH154" s="30"/>
      <c r="AI154" s="30"/>
      <c r="AJ154" s="30"/>
      <c r="AK154" s="30"/>
      <c r="AL154" s="30"/>
      <c r="AM154" s="30"/>
      <c r="AN154" s="30"/>
      <c r="AO154" s="30"/>
    </row>
    <row r="155" spans="1:41" s="53" customFormat="1" ht="18" customHeight="1">
      <c r="A155" s="47"/>
      <c r="B155" s="107"/>
      <c r="C155" s="20" t="s">
        <v>12</v>
      </c>
      <c r="D155" s="24"/>
      <c r="E155" s="48"/>
      <c r="F155" s="24">
        <f>SUM(F149:F154)</f>
        <v>3</v>
      </c>
      <c r="G155" s="24">
        <f>SUM(G149:G154)</f>
        <v>1</v>
      </c>
      <c r="H155" s="24">
        <f>SUM(H149:H154)</f>
        <v>62</v>
      </c>
      <c r="I155" s="40">
        <f t="shared" si="44"/>
        <v>66</v>
      </c>
      <c r="J155" s="24">
        <f aca="true" t="shared" si="46" ref="J155:O155">SUM(J149:J154)</f>
        <v>33</v>
      </c>
      <c r="K155" s="24">
        <f t="shared" si="46"/>
        <v>0</v>
      </c>
      <c r="L155" s="24">
        <f t="shared" si="46"/>
        <v>1</v>
      </c>
      <c r="M155" s="24">
        <f t="shared" si="46"/>
        <v>0</v>
      </c>
      <c r="N155" s="24">
        <f t="shared" si="46"/>
        <v>0</v>
      </c>
      <c r="O155" s="24">
        <f t="shared" si="46"/>
        <v>0</v>
      </c>
      <c r="P155" s="24">
        <f t="shared" si="45"/>
        <v>34</v>
      </c>
      <c r="Q155" s="24">
        <f>SUM(Q149:Q154)</f>
        <v>0</v>
      </c>
      <c r="R155" s="24">
        <f>SUM(R149:R154)</f>
        <v>32</v>
      </c>
      <c r="S155" s="24">
        <f>SUM(S149:S154)</f>
        <v>0</v>
      </c>
      <c r="T155" s="24">
        <f>SUM(T149:T154)</f>
        <v>0</v>
      </c>
      <c r="U155" s="24">
        <f>SUM(U149:U154)</f>
        <v>0</v>
      </c>
      <c r="V155" s="26">
        <f>IF(I155-Q155=0,"",IF(D155="",(P155+S155)/(I155-Q155),IF(AND(D155&lt;&gt;"",(P155+S155)/(I155-Q155)&gt;=50%),(P155+S155)/(I155-Q155),"")))</f>
        <v>0.5151515151515151</v>
      </c>
      <c r="W155" s="26">
        <f>IF(I155=O155,"",IF(V155="",0,(P155+Q155+S155-O155)/(I155-O155)))</f>
        <v>0.5151515151515151</v>
      </c>
      <c r="X155" s="49"/>
      <c r="Y155" s="49"/>
      <c r="Z155" s="49"/>
      <c r="AA155" s="49"/>
      <c r="AB155" s="50"/>
      <c r="AC155" s="49"/>
      <c r="AD155" s="49"/>
      <c r="AE155" s="49"/>
      <c r="AF155" s="49"/>
      <c r="AG155" s="49"/>
      <c r="AH155" s="49"/>
      <c r="AI155" s="49"/>
      <c r="AJ155" s="49"/>
      <c r="AK155" s="49"/>
      <c r="AL155" s="49"/>
      <c r="AM155" s="49"/>
      <c r="AN155" s="49"/>
      <c r="AO155" s="49"/>
    </row>
    <row r="156" spans="1:41" s="39" customFormat="1" ht="19.5" customHeight="1">
      <c r="A156" s="32"/>
      <c r="B156" s="107" t="s">
        <v>64</v>
      </c>
      <c r="C156" s="14" t="s">
        <v>2</v>
      </c>
      <c r="D156" s="29"/>
      <c r="E156" s="16" t="s">
        <v>27</v>
      </c>
      <c r="F156" s="15"/>
      <c r="G156" s="15"/>
      <c r="H156" s="15"/>
      <c r="I156" s="17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8"/>
      <c r="W156" s="18"/>
      <c r="X156" s="30"/>
      <c r="Y156" s="30"/>
      <c r="Z156" s="30"/>
      <c r="AA156" s="30"/>
      <c r="AB156" s="34"/>
      <c r="AC156" s="30"/>
      <c r="AD156" s="30"/>
      <c r="AE156" s="30"/>
      <c r="AF156" s="30"/>
      <c r="AG156" s="30"/>
      <c r="AH156" s="30"/>
      <c r="AI156" s="30"/>
      <c r="AJ156" s="30"/>
      <c r="AK156" s="30"/>
      <c r="AL156" s="30"/>
      <c r="AM156" s="30"/>
      <c r="AN156" s="30"/>
      <c r="AO156" s="30"/>
    </row>
    <row r="157" spans="1:41" s="39" customFormat="1" ht="18.75" customHeight="1">
      <c r="A157" s="32">
        <v>2</v>
      </c>
      <c r="B157" s="107"/>
      <c r="C157" s="20" t="str">
        <f>IF(A157="","VARA",VLOOKUP(A157,'[1]varas'!$A$4:$B$67,2))</f>
        <v>2ª VT Recife</v>
      </c>
      <c r="D157" s="29"/>
      <c r="E157" s="16"/>
      <c r="F157" s="15">
        <f>53+51+17+8</f>
        <v>129</v>
      </c>
      <c r="G157" s="15">
        <v>0</v>
      </c>
      <c r="H157" s="15">
        <v>0</v>
      </c>
      <c r="I157" s="17">
        <f>SUM(F157:H157)</f>
        <v>129</v>
      </c>
      <c r="J157" s="15">
        <v>48</v>
      </c>
      <c r="K157" s="15">
        <v>5</v>
      </c>
      <c r="L157" s="15">
        <v>17</v>
      </c>
      <c r="M157" s="15">
        <v>8</v>
      </c>
      <c r="N157" s="15">
        <v>0</v>
      </c>
      <c r="O157" s="15">
        <v>51</v>
      </c>
      <c r="P157" s="15">
        <f>SUM(J157:O157)</f>
        <v>129</v>
      </c>
      <c r="Q157" s="15">
        <v>0</v>
      </c>
      <c r="R157" s="15">
        <v>0</v>
      </c>
      <c r="S157" s="15">
        <v>0</v>
      </c>
      <c r="T157" s="15">
        <v>0</v>
      </c>
      <c r="U157" s="15">
        <v>149</v>
      </c>
      <c r="V157" s="18"/>
      <c r="W157" s="18"/>
      <c r="X157" s="30"/>
      <c r="Y157" s="30"/>
      <c r="Z157" s="30"/>
      <c r="AA157" s="30"/>
      <c r="AB157" s="34"/>
      <c r="AC157" s="30"/>
      <c r="AD157" s="30"/>
      <c r="AE157" s="30"/>
      <c r="AF157" s="30"/>
      <c r="AG157" s="30"/>
      <c r="AH157" s="30"/>
      <c r="AI157" s="30"/>
      <c r="AJ157" s="30"/>
      <c r="AK157" s="30"/>
      <c r="AL157" s="30"/>
      <c r="AM157" s="30"/>
      <c r="AN157" s="30"/>
      <c r="AO157" s="30"/>
    </row>
    <row r="158" spans="1:41" s="39" customFormat="1" ht="17.25" customHeight="1">
      <c r="A158" s="32"/>
      <c r="B158" s="107"/>
      <c r="C158" s="21" t="s">
        <v>12</v>
      </c>
      <c r="D158" s="33"/>
      <c r="E158" s="23"/>
      <c r="F158" s="24">
        <f>SUM(F156:F157)</f>
        <v>129</v>
      </c>
      <c r="G158" s="24">
        <f>SUM(G156:G157)</f>
        <v>0</v>
      </c>
      <c r="H158" s="24">
        <f>SUM(H156:H157)</f>
        <v>0</v>
      </c>
      <c r="I158" s="40">
        <f>SUM(F158:H158)</f>
        <v>129</v>
      </c>
      <c r="J158" s="24">
        <f aca="true" t="shared" si="47" ref="J158:O158">SUM(J156:J157)</f>
        <v>48</v>
      </c>
      <c r="K158" s="24">
        <f t="shared" si="47"/>
        <v>5</v>
      </c>
      <c r="L158" s="24">
        <f t="shared" si="47"/>
        <v>17</v>
      </c>
      <c r="M158" s="24">
        <f t="shared" si="47"/>
        <v>8</v>
      </c>
      <c r="N158" s="24">
        <f t="shared" si="47"/>
        <v>0</v>
      </c>
      <c r="O158" s="24">
        <f t="shared" si="47"/>
        <v>51</v>
      </c>
      <c r="P158" s="24">
        <f>SUM(J158:O158)</f>
        <v>129</v>
      </c>
      <c r="Q158" s="24">
        <f>SUM(Q156:Q157)</f>
        <v>0</v>
      </c>
      <c r="R158" s="24">
        <f>SUM(R156:R157)</f>
        <v>0</v>
      </c>
      <c r="S158" s="24">
        <f>SUM(S156:S157)</f>
        <v>0</v>
      </c>
      <c r="T158" s="24">
        <f>SUM(T156:T157)</f>
        <v>0</v>
      </c>
      <c r="U158" s="24">
        <f>SUM(U156:U157)</f>
        <v>149</v>
      </c>
      <c r="V158" s="26">
        <f>IF(I158-Q158=0,"",IF(D158="",(P158+S158)/(I158-Q158),IF(AND(D158&lt;&gt;"",(P158+S158)/(I158-Q158)&gt;=50%),(P158+S158)/(I158-Q158),"")))</f>
        <v>1</v>
      </c>
      <c r="W158" s="26">
        <f>IF(I158=O158,"",IF(V158="",0,(P158+Q158+S158-O158)/(I158-O158)))</f>
        <v>1</v>
      </c>
      <c r="X158" s="30"/>
      <c r="Y158" s="30"/>
      <c r="Z158" s="30"/>
      <c r="AA158" s="30"/>
      <c r="AB158" s="34"/>
      <c r="AC158" s="30"/>
      <c r="AD158" s="30"/>
      <c r="AE158" s="30"/>
      <c r="AF158" s="30"/>
      <c r="AG158" s="30"/>
      <c r="AH158" s="30"/>
      <c r="AI158" s="30"/>
      <c r="AJ158" s="30"/>
      <c r="AK158" s="30"/>
      <c r="AL158" s="30"/>
      <c r="AM158" s="30"/>
      <c r="AN158" s="30"/>
      <c r="AO158" s="30"/>
    </row>
    <row r="159" spans="1:41" s="39" customFormat="1" ht="18.75" customHeight="1">
      <c r="A159" s="32"/>
      <c r="B159" s="107" t="s">
        <v>65</v>
      </c>
      <c r="C159" s="14" t="s">
        <v>2</v>
      </c>
      <c r="D159" s="29" t="s">
        <v>170</v>
      </c>
      <c r="E159" s="16" t="s">
        <v>172</v>
      </c>
      <c r="F159" s="15"/>
      <c r="G159" s="15"/>
      <c r="H159" s="15"/>
      <c r="I159" s="17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8"/>
      <c r="W159" s="18"/>
      <c r="X159" s="30"/>
      <c r="Y159" s="30"/>
      <c r="Z159" s="30"/>
      <c r="AA159" s="30"/>
      <c r="AB159" s="34"/>
      <c r="AC159" s="30"/>
      <c r="AD159" s="30"/>
      <c r="AE159" s="30"/>
      <c r="AF159" s="30"/>
      <c r="AG159" s="30"/>
      <c r="AH159" s="30"/>
      <c r="AI159" s="30"/>
      <c r="AJ159" s="30"/>
      <c r="AK159" s="30"/>
      <c r="AL159" s="30"/>
      <c r="AM159" s="30"/>
      <c r="AN159" s="30"/>
      <c r="AO159" s="30"/>
    </row>
    <row r="160" spans="1:41" s="39" customFormat="1" ht="16.5" customHeight="1">
      <c r="A160" s="32">
        <v>19</v>
      </c>
      <c r="B160" s="107"/>
      <c r="C160" s="20" t="str">
        <f>IF(A160="","VARA",VLOOKUP(A160,'[1]varas'!$A$4:$B$67,2))</f>
        <v>19ª VT Recife</v>
      </c>
      <c r="D160" s="29"/>
      <c r="E160" s="16"/>
      <c r="F160" s="15">
        <v>0</v>
      </c>
      <c r="G160" s="15">
        <v>0</v>
      </c>
      <c r="H160" s="15">
        <v>0</v>
      </c>
      <c r="I160" s="17">
        <f>SUM(F160:H160)</f>
        <v>0</v>
      </c>
      <c r="J160" s="15">
        <v>0</v>
      </c>
      <c r="K160" s="15">
        <v>0</v>
      </c>
      <c r="L160" s="15">
        <v>0</v>
      </c>
      <c r="M160" s="15">
        <v>0</v>
      </c>
      <c r="N160" s="15">
        <v>0</v>
      </c>
      <c r="O160" s="15">
        <v>0</v>
      </c>
      <c r="P160" s="15">
        <f>SUM(J160:O160)</f>
        <v>0</v>
      </c>
      <c r="Q160" s="15">
        <v>0</v>
      </c>
      <c r="R160" s="15">
        <v>0</v>
      </c>
      <c r="S160" s="15">
        <v>0</v>
      </c>
      <c r="T160" s="15">
        <v>0</v>
      </c>
      <c r="U160" s="15">
        <v>0</v>
      </c>
      <c r="V160" s="18"/>
      <c r="W160" s="18"/>
      <c r="X160" s="30"/>
      <c r="Y160" s="30"/>
      <c r="Z160" s="30"/>
      <c r="AA160" s="30"/>
      <c r="AB160" s="34"/>
      <c r="AC160" s="30"/>
      <c r="AD160" s="30"/>
      <c r="AE160" s="30"/>
      <c r="AF160" s="30"/>
      <c r="AG160" s="30"/>
      <c r="AH160" s="30"/>
      <c r="AI160" s="30"/>
      <c r="AJ160" s="30"/>
      <c r="AK160" s="30"/>
      <c r="AL160" s="30"/>
      <c r="AM160" s="30"/>
      <c r="AN160" s="30"/>
      <c r="AO160" s="30"/>
    </row>
    <row r="161" spans="1:41" s="53" customFormat="1" ht="15" customHeight="1">
      <c r="A161" s="47"/>
      <c r="B161" s="107"/>
      <c r="C161" s="21" t="s">
        <v>12</v>
      </c>
      <c r="D161" s="51"/>
      <c r="E161" s="52"/>
      <c r="F161" s="24">
        <f>SUM(F159:F160)</f>
        <v>0</v>
      </c>
      <c r="G161" s="24">
        <f>SUM(G159:G160)</f>
        <v>0</v>
      </c>
      <c r="H161" s="24">
        <f>SUM(H159:H160)</f>
        <v>0</v>
      </c>
      <c r="I161" s="25">
        <f>SUM(F161:H161)</f>
        <v>0</v>
      </c>
      <c r="J161" s="24">
        <f aca="true" t="shared" si="48" ref="J161:O161">SUM(J159:J160)</f>
        <v>0</v>
      </c>
      <c r="K161" s="24">
        <f t="shared" si="48"/>
        <v>0</v>
      </c>
      <c r="L161" s="24">
        <f t="shared" si="48"/>
        <v>0</v>
      </c>
      <c r="M161" s="24">
        <f t="shared" si="48"/>
        <v>0</v>
      </c>
      <c r="N161" s="24">
        <f t="shared" si="48"/>
        <v>0</v>
      </c>
      <c r="O161" s="24">
        <f t="shared" si="48"/>
        <v>0</v>
      </c>
      <c r="P161" s="24">
        <f>SUM(J161:O161)</f>
        <v>0</v>
      </c>
      <c r="Q161" s="24">
        <f>SUM(Q159:Q160)</f>
        <v>0</v>
      </c>
      <c r="R161" s="24">
        <f>SUM(R159:R160)</f>
        <v>0</v>
      </c>
      <c r="S161" s="24">
        <f>SUM(S159:S160)</f>
        <v>0</v>
      </c>
      <c r="T161" s="24">
        <f>SUM(T159:T160)</f>
        <v>0</v>
      </c>
      <c r="U161" s="24">
        <f>SUM(U159:U160)</f>
        <v>0</v>
      </c>
      <c r="V161" s="26">
        <f>IF(I161-Q161=0,"",IF(D161="",(P161+S161)/(I161-Q161),IF(AND(D161&lt;&gt;"",(P161+S161)/(I161-Q161)&gt;=50%),(P161+S161)/(I161-Q161),"")))</f>
      </c>
      <c r="W161" s="26">
        <f>IF(I161=O161,"",IF(V161="",0,(P161+Q161+S161-O161)/(I161-O161)))</f>
      </c>
      <c r="X161" s="49"/>
      <c r="Y161" s="49"/>
      <c r="Z161" s="49"/>
      <c r="AA161" s="49"/>
      <c r="AB161" s="50"/>
      <c r="AC161" s="49"/>
      <c r="AD161" s="49"/>
      <c r="AE161" s="49"/>
      <c r="AF161" s="49"/>
      <c r="AG161" s="49"/>
      <c r="AH161" s="49"/>
      <c r="AI161" s="49"/>
      <c r="AJ161" s="49"/>
      <c r="AK161" s="49"/>
      <c r="AL161" s="49"/>
      <c r="AM161" s="49"/>
      <c r="AN161" s="49"/>
      <c r="AO161" s="49"/>
    </row>
    <row r="162" spans="1:41" s="39" customFormat="1" ht="19.5" customHeight="1">
      <c r="A162" s="32"/>
      <c r="B162" s="107" t="s">
        <v>66</v>
      </c>
      <c r="C162" s="14" t="s">
        <v>2</v>
      </c>
      <c r="D162" s="29"/>
      <c r="E162" s="16" t="s">
        <v>27</v>
      </c>
      <c r="F162" s="15"/>
      <c r="G162" s="15"/>
      <c r="H162" s="15"/>
      <c r="I162" s="17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8"/>
      <c r="W162" s="18"/>
      <c r="X162" s="30"/>
      <c r="Y162" s="30"/>
      <c r="Z162" s="30"/>
      <c r="AA162" s="30"/>
      <c r="AB162" s="34"/>
      <c r="AC162" s="30"/>
      <c r="AD162" s="30"/>
      <c r="AE162" s="30"/>
      <c r="AF162" s="30"/>
      <c r="AG162" s="30"/>
      <c r="AH162" s="30"/>
      <c r="AI162" s="30"/>
      <c r="AJ162" s="30"/>
      <c r="AK162" s="30"/>
      <c r="AL162" s="30"/>
      <c r="AM162" s="30"/>
      <c r="AN162" s="30"/>
      <c r="AO162" s="30"/>
    </row>
    <row r="163" spans="1:41" s="39" customFormat="1" ht="16.5" customHeight="1">
      <c r="A163" s="32">
        <v>41</v>
      </c>
      <c r="B163" s="107"/>
      <c r="C163" s="20" t="str">
        <f>IF(A163="","VARA",VLOOKUP(A163,'[1]varas'!$A$4:$B$67,2))</f>
        <v>1ª VT Paulista</v>
      </c>
      <c r="D163" s="15"/>
      <c r="E163" s="16"/>
      <c r="F163" s="15">
        <f>47+35+17+7</f>
        <v>106</v>
      </c>
      <c r="G163" s="15">
        <v>0</v>
      </c>
      <c r="H163" s="15">
        <v>0</v>
      </c>
      <c r="I163" s="17">
        <f>SUM(F163:H163)</f>
        <v>106</v>
      </c>
      <c r="J163" s="15">
        <v>27</v>
      </c>
      <c r="K163" s="15">
        <v>14</v>
      </c>
      <c r="L163" s="15">
        <v>17</v>
      </c>
      <c r="M163" s="15">
        <v>6</v>
      </c>
      <c r="N163" s="15">
        <v>1</v>
      </c>
      <c r="O163" s="15">
        <v>35</v>
      </c>
      <c r="P163" s="15">
        <f>SUM(J163:O163)</f>
        <v>100</v>
      </c>
      <c r="Q163" s="15">
        <v>6</v>
      </c>
      <c r="R163" s="15">
        <v>0</v>
      </c>
      <c r="S163" s="15">
        <v>0</v>
      </c>
      <c r="T163" s="15">
        <v>0</v>
      </c>
      <c r="U163" s="15">
        <v>132</v>
      </c>
      <c r="V163" s="18"/>
      <c r="W163" s="18"/>
      <c r="X163" s="30"/>
      <c r="Y163" s="30"/>
      <c r="Z163" s="30"/>
      <c r="AA163" s="30"/>
      <c r="AB163" s="34"/>
      <c r="AC163" s="30"/>
      <c r="AD163" s="30"/>
      <c r="AE163" s="30"/>
      <c r="AF163" s="30"/>
      <c r="AG163" s="30"/>
      <c r="AH163" s="30"/>
      <c r="AI163" s="30"/>
      <c r="AJ163" s="30"/>
      <c r="AK163" s="30"/>
      <c r="AL163" s="30"/>
      <c r="AM163" s="30"/>
      <c r="AN163" s="30"/>
      <c r="AO163" s="30"/>
    </row>
    <row r="164" spans="1:41" s="39" customFormat="1" ht="19.5" customHeight="1">
      <c r="A164" s="32">
        <v>42</v>
      </c>
      <c r="B164" s="107"/>
      <c r="C164" s="20" t="str">
        <f>IF(A164="","VARA",VLOOKUP(A164,'[1]varas'!$A$4:$B$67,2))</f>
        <v>2ª VT Paulista</v>
      </c>
      <c r="D164" s="15"/>
      <c r="E164" s="16"/>
      <c r="F164" s="15">
        <f>34+34+18+3</f>
        <v>89</v>
      </c>
      <c r="G164" s="15">
        <v>4</v>
      </c>
      <c r="H164" s="15">
        <v>6</v>
      </c>
      <c r="I164" s="17">
        <f>SUM(F164:H164)</f>
        <v>99</v>
      </c>
      <c r="J164" s="15">
        <v>40</v>
      </c>
      <c r="K164" s="15">
        <v>4</v>
      </c>
      <c r="L164" s="15">
        <v>18</v>
      </c>
      <c r="M164" s="15">
        <v>3</v>
      </c>
      <c r="N164" s="15">
        <v>0</v>
      </c>
      <c r="O164" s="15">
        <v>34</v>
      </c>
      <c r="P164" s="15">
        <f>SUM(J164:O164)</f>
        <v>99</v>
      </c>
      <c r="Q164" s="15">
        <v>0</v>
      </c>
      <c r="R164" s="15">
        <v>0</v>
      </c>
      <c r="S164" s="15">
        <v>0</v>
      </c>
      <c r="T164" s="15">
        <v>0</v>
      </c>
      <c r="U164" s="15">
        <v>90</v>
      </c>
      <c r="V164" s="18"/>
      <c r="W164" s="18"/>
      <c r="X164" s="30"/>
      <c r="Y164" s="30"/>
      <c r="Z164" s="30"/>
      <c r="AA164" s="30"/>
      <c r="AB164" s="34"/>
      <c r="AC164" s="30"/>
      <c r="AD164" s="30"/>
      <c r="AE164" s="30"/>
      <c r="AF164" s="30"/>
      <c r="AG164" s="30"/>
      <c r="AH164" s="30"/>
      <c r="AI164" s="30"/>
      <c r="AJ164" s="30"/>
      <c r="AK164" s="30"/>
      <c r="AL164" s="30"/>
      <c r="AM164" s="30"/>
      <c r="AN164" s="30"/>
      <c r="AO164" s="30"/>
    </row>
    <row r="165" spans="1:41" s="53" customFormat="1" ht="16.5" customHeight="1">
      <c r="A165" s="47"/>
      <c r="B165" s="107"/>
      <c r="C165" s="20" t="s">
        <v>12</v>
      </c>
      <c r="D165" s="24"/>
      <c r="E165" s="48"/>
      <c r="F165" s="24">
        <f>SUM(F162:F164)</f>
        <v>195</v>
      </c>
      <c r="G165" s="24">
        <f>SUM(G162:G164)</f>
        <v>4</v>
      </c>
      <c r="H165" s="24">
        <f>SUM(H162:H164)</f>
        <v>6</v>
      </c>
      <c r="I165" s="40">
        <f>SUM(F165:H165)</f>
        <v>205</v>
      </c>
      <c r="J165" s="24">
        <f aca="true" t="shared" si="49" ref="J165:O165">SUM(J162:J164)</f>
        <v>67</v>
      </c>
      <c r="K165" s="24">
        <f t="shared" si="49"/>
        <v>18</v>
      </c>
      <c r="L165" s="24">
        <f t="shared" si="49"/>
        <v>35</v>
      </c>
      <c r="M165" s="24">
        <f t="shared" si="49"/>
        <v>9</v>
      </c>
      <c r="N165" s="24">
        <f t="shared" si="49"/>
        <v>1</v>
      </c>
      <c r="O165" s="24">
        <f t="shared" si="49"/>
        <v>69</v>
      </c>
      <c r="P165" s="24">
        <f>SUM(J165:O165)</f>
        <v>199</v>
      </c>
      <c r="Q165" s="24">
        <f>SUM(Q162:Q164)</f>
        <v>6</v>
      </c>
      <c r="R165" s="24">
        <f>SUM(R162:R164)</f>
        <v>0</v>
      </c>
      <c r="S165" s="24">
        <f>SUM(S162:S164)</f>
        <v>0</v>
      </c>
      <c r="T165" s="24">
        <f>SUM(T162:T164)</f>
        <v>0</v>
      </c>
      <c r="U165" s="24">
        <f>SUM(U162:U164)</f>
        <v>222</v>
      </c>
      <c r="V165" s="26">
        <f>IF(I165-Q165=0,"",IF(D165="",(P165+S165)/(I165-Q165),IF(AND(D165&lt;&gt;"",(P165+S165)/(I165-Q165)&gt;=50%),(P165+S165)/(I165-Q165),"")))</f>
        <v>1</v>
      </c>
      <c r="W165" s="26">
        <f>IF(I165=O165,"",IF(V165="",0,(P165+Q165+S165-O165)/(I165-O165)))</f>
        <v>1</v>
      </c>
      <c r="X165" s="49"/>
      <c r="Y165" s="49"/>
      <c r="Z165" s="49"/>
      <c r="AA165" s="49"/>
      <c r="AB165" s="50"/>
      <c r="AC165" s="49"/>
      <c r="AD165" s="49"/>
      <c r="AE165" s="49"/>
      <c r="AF165" s="49"/>
      <c r="AG165" s="49"/>
      <c r="AH165" s="49"/>
      <c r="AI165" s="49"/>
      <c r="AJ165" s="49"/>
      <c r="AK165" s="49"/>
      <c r="AL165" s="49"/>
      <c r="AM165" s="49"/>
      <c r="AN165" s="49"/>
      <c r="AO165" s="49"/>
    </row>
    <row r="166" spans="1:41" s="39" customFormat="1" ht="20.25" customHeight="1">
      <c r="A166" s="32"/>
      <c r="B166" s="107" t="s">
        <v>67</v>
      </c>
      <c r="C166" s="14" t="s">
        <v>2</v>
      </c>
      <c r="D166" s="29" t="s">
        <v>30</v>
      </c>
      <c r="E166" s="16" t="s">
        <v>201</v>
      </c>
      <c r="F166" s="15"/>
      <c r="G166" s="15"/>
      <c r="H166" s="15"/>
      <c r="I166" s="17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8"/>
      <c r="W166" s="18"/>
      <c r="X166" s="30"/>
      <c r="Y166" s="30"/>
      <c r="Z166" s="30"/>
      <c r="AA166" s="30"/>
      <c r="AB166" s="34"/>
      <c r="AC166" s="30"/>
      <c r="AD166" s="30"/>
      <c r="AE166" s="30"/>
      <c r="AF166" s="30"/>
      <c r="AG166" s="30"/>
      <c r="AH166" s="30"/>
      <c r="AI166" s="30"/>
      <c r="AJ166" s="30"/>
      <c r="AK166" s="30"/>
      <c r="AL166" s="30"/>
      <c r="AM166" s="30"/>
      <c r="AN166" s="30"/>
      <c r="AO166" s="30"/>
    </row>
    <row r="167" spans="1:41" s="39" customFormat="1" ht="17.25" customHeight="1">
      <c r="A167" s="32">
        <v>44</v>
      </c>
      <c r="B167" s="107"/>
      <c r="C167" s="20" t="str">
        <f>IF(A167="","VARA",VLOOKUP(A167,'[1]varas'!$A$4:$B$67,2))</f>
        <v>2ª VT Petrolina</v>
      </c>
      <c r="D167" s="15"/>
      <c r="E167" s="16"/>
      <c r="F167" s="15">
        <v>0</v>
      </c>
      <c r="G167" s="15">
        <v>3</v>
      </c>
      <c r="H167" s="15">
        <v>0</v>
      </c>
      <c r="I167" s="17">
        <f>SUM(F167:H167)</f>
        <v>3</v>
      </c>
      <c r="J167" s="15">
        <v>3</v>
      </c>
      <c r="K167" s="15">
        <v>0</v>
      </c>
      <c r="L167" s="15">
        <v>0</v>
      </c>
      <c r="M167" s="15">
        <v>0</v>
      </c>
      <c r="N167" s="15">
        <v>0</v>
      </c>
      <c r="O167" s="15">
        <v>0</v>
      </c>
      <c r="P167" s="15">
        <f>SUM(J167:O167)</f>
        <v>3</v>
      </c>
      <c r="Q167" s="15">
        <v>0</v>
      </c>
      <c r="R167" s="15">
        <v>0</v>
      </c>
      <c r="S167" s="15">
        <v>0</v>
      </c>
      <c r="T167" s="15">
        <v>0</v>
      </c>
      <c r="U167" s="15">
        <v>0</v>
      </c>
      <c r="V167" s="18"/>
      <c r="W167" s="18"/>
      <c r="X167" s="30"/>
      <c r="Y167" s="30"/>
      <c r="Z167" s="30"/>
      <c r="AA167" s="30"/>
      <c r="AB167" s="34"/>
      <c r="AC167" s="30"/>
      <c r="AD167" s="30"/>
      <c r="AE167" s="30"/>
      <c r="AF167" s="30"/>
      <c r="AG167" s="30"/>
      <c r="AH167" s="30"/>
      <c r="AI167" s="30"/>
      <c r="AJ167" s="30"/>
      <c r="AK167" s="30"/>
      <c r="AL167" s="30"/>
      <c r="AM167" s="30"/>
      <c r="AN167" s="30"/>
      <c r="AO167" s="30"/>
    </row>
    <row r="168" spans="1:41" s="53" customFormat="1" ht="15.75" customHeight="1">
      <c r="A168" s="47"/>
      <c r="B168" s="107"/>
      <c r="C168" s="20" t="s">
        <v>12</v>
      </c>
      <c r="D168" s="24"/>
      <c r="E168" s="48"/>
      <c r="F168" s="24">
        <f>SUM(F166:F167)</f>
        <v>0</v>
      </c>
      <c r="G168" s="24">
        <f>SUM(G166:G167)</f>
        <v>3</v>
      </c>
      <c r="H168" s="24">
        <f>SUM(H166:H167)</f>
        <v>0</v>
      </c>
      <c r="I168" s="40">
        <f>SUM(F168:H168)</f>
        <v>3</v>
      </c>
      <c r="J168" s="24">
        <f aca="true" t="shared" si="50" ref="J168:O168">SUM(J166:J167)</f>
        <v>3</v>
      </c>
      <c r="K168" s="24">
        <f t="shared" si="50"/>
        <v>0</v>
      </c>
      <c r="L168" s="24">
        <f t="shared" si="50"/>
        <v>0</v>
      </c>
      <c r="M168" s="24">
        <f t="shared" si="50"/>
        <v>0</v>
      </c>
      <c r="N168" s="24">
        <f t="shared" si="50"/>
        <v>0</v>
      </c>
      <c r="O168" s="24">
        <f t="shared" si="50"/>
        <v>0</v>
      </c>
      <c r="P168" s="24">
        <f>SUM(J168:O168)</f>
        <v>3</v>
      </c>
      <c r="Q168" s="24">
        <f>SUM(Q166:Q167)</f>
        <v>0</v>
      </c>
      <c r="R168" s="24">
        <f>SUM(R166:R167)</f>
        <v>0</v>
      </c>
      <c r="S168" s="24">
        <f>SUM(S166:S167)</f>
        <v>0</v>
      </c>
      <c r="T168" s="24">
        <f>SUM(T166:T167)</f>
        <v>0</v>
      </c>
      <c r="U168" s="24">
        <f>SUM(U166:U167)</f>
        <v>0</v>
      </c>
      <c r="V168" s="26">
        <f>IF(I168-Q168=0,"",IF(D168="",(P168+S168)/(I168-Q168),IF(AND(D168&lt;&gt;"",(P168+S168)/(I168-Q168)&gt;=50%),(P168+S168)/(I168-Q168),"")))</f>
        <v>1</v>
      </c>
      <c r="W168" s="26">
        <f>IF(I168=O168,"",IF(V168="",0,(P168+Q168+S168-O168)/(I168-O168)))</f>
        <v>1</v>
      </c>
      <c r="X168" s="49"/>
      <c r="Y168" s="49"/>
      <c r="Z168" s="49"/>
      <c r="AA168" s="49"/>
      <c r="AB168" s="50"/>
      <c r="AC168" s="49"/>
      <c r="AD168" s="49"/>
      <c r="AE168" s="49"/>
      <c r="AF168" s="49"/>
      <c r="AG168" s="49"/>
      <c r="AH168" s="49"/>
      <c r="AI168" s="49"/>
      <c r="AJ168" s="49"/>
      <c r="AK168" s="49"/>
      <c r="AL168" s="49"/>
      <c r="AM168" s="49"/>
      <c r="AN168" s="49"/>
      <c r="AO168" s="49"/>
    </row>
    <row r="169" spans="1:41" s="39" customFormat="1" ht="19.5" customHeight="1">
      <c r="A169" s="32"/>
      <c r="B169" s="107" t="s">
        <v>68</v>
      </c>
      <c r="C169" s="14" t="s">
        <v>2</v>
      </c>
      <c r="D169" s="15" t="s">
        <v>30</v>
      </c>
      <c r="E169" s="16" t="s">
        <v>201</v>
      </c>
      <c r="F169" s="15"/>
      <c r="G169" s="15"/>
      <c r="H169" s="15"/>
      <c r="I169" s="17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8"/>
      <c r="W169" s="18"/>
      <c r="X169" s="30"/>
      <c r="Y169" s="30"/>
      <c r="Z169" s="30"/>
      <c r="AA169" s="30"/>
      <c r="AB169" s="34"/>
      <c r="AC169" s="30"/>
      <c r="AD169" s="30"/>
      <c r="AE169" s="30"/>
      <c r="AF169" s="30"/>
      <c r="AG169" s="30"/>
      <c r="AH169" s="30"/>
      <c r="AI169" s="30"/>
      <c r="AJ169" s="30"/>
      <c r="AK169" s="30"/>
      <c r="AL169" s="30"/>
      <c r="AM169" s="30"/>
      <c r="AN169" s="30"/>
      <c r="AO169" s="30"/>
    </row>
    <row r="170" spans="1:41" s="39" customFormat="1" ht="17.25" customHeight="1">
      <c r="A170" s="32">
        <v>15</v>
      </c>
      <c r="B170" s="107"/>
      <c r="C170" s="20" t="str">
        <f>IF(A170="","VARA",VLOOKUP(A170,'[1]varas'!$A$4:$B$67,2))</f>
        <v>15ª VT Recife</v>
      </c>
      <c r="D170" s="15"/>
      <c r="E170" s="16"/>
      <c r="F170" s="15">
        <v>7</v>
      </c>
      <c r="G170" s="15">
        <v>11</v>
      </c>
      <c r="H170" s="15">
        <v>17</v>
      </c>
      <c r="I170" s="17">
        <f>SUM(F170:H170)</f>
        <v>35</v>
      </c>
      <c r="J170" s="15">
        <v>17</v>
      </c>
      <c r="K170" s="15">
        <v>0</v>
      </c>
      <c r="L170" s="15">
        <v>3</v>
      </c>
      <c r="M170" s="15">
        <v>4</v>
      </c>
      <c r="N170" s="15">
        <v>0</v>
      </c>
      <c r="O170" s="15">
        <v>0</v>
      </c>
      <c r="P170" s="15">
        <f>SUM(J170:O170)</f>
        <v>24</v>
      </c>
      <c r="Q170" s="15">
        <v>11</v>
      </c>
      <c r="R170" s="15">
        <v>0</v>
      </c>
      <c r="S170" s="15">
        <v>0</v>
      </c>
      <c r="T170" s="15">
        <v>0</v>
      </c>
      <c r="U170" s="15">
        <v>0</v>
      </c>
      <c r="V170" s="18"/>
      <c r="W170" s="18"/>
      <c r="X170" s="30"/>
      <c r="Y170" s="30"/>
      <c r="Z170" s="30"/>
      <c r="AA170" s="30"/>
      <c r="AB170" s="34"/>
      <c r="AC170" s="30"/>
      <c r="AD170" s="30"/>
      <c r="AE170" s="30"/>
      <c r="AF170" s="30"/>
      <c r="AG170" s="30"/>
      <c r="AH170" s="30"/>
      <c r="AI170" s="30"/>
      <c r="AJ170" s="30"/>
      <c r="AK170" s="30"/>
      <c r="AL170" s="30"/>
      <c r="AM170" s="30"/>
      <c r="AN170" s="30"/>
      <c r="AO170" s="30"/>
    </row>
    <row r="171" spans="1:41" s="53" customFormat="1" ht="17.25" customHeight="1">
      <c r="A171" s="47"/>
      <c r="B171" s="107"/>
      <c r="C171" s="21" t="s">
        <v>12</v>
      </c>
      <c r="D171" s="51"/>
      <c r="E171" s="52"/>
      <c r="F171" s="24">
        <f>SUM(F169:F170)</f>
        <v>7</v>
      </c>
      <c r="G171" s="24">
        <f>SUM(G169:G170)</f>
        <v>11</v>
      </c>
      <c r="H171" s="24">
        <f>SUM(H169:H170)</f>
        <v>17</v>
      </c>
      <c r="I171" s="25">
        <f>SUM(F171:H171)</f>
        <v>35</v>
      </c>
      <c r="J171" s="24">
        <f aca="true" t="shared" si="51" ref="J171:O171">SUM(J169:J170)</f>
        <v>17</v>
      </c>
      <c r="K171" s="24">
        <f t="shared" si="51"/>
        <v>0</v>
      </c>
      <c r="L171" s="24">
        <f t="shared" si="51"/>
        <v>3</v>
      </c>
      <c r="M171" s="24">
        <f t="shared" si="51"/>
        <v>4</v>
      </c>
      <c r="N171" s="24">
        <f t="shared" si="51"/>
        <v>0</v>
      </c>
      <c r="O171" s="24">
        <f t="shared" si="51"/>
        <v>0</v>
      </c>
      <c r="P171" s="24">
        <f>SUM(J171:O171)</f>
        <v>24</v>
      </c>
      <c r="Q171" s="24">
        <f>SUM(Q169:Q170)</f>
        <v>11</v>
      </c>
      <c r="R171" s="24">
        <f>SUM(R169:R170)</f>
        <v>0</v>
      </c>
      <c r="S171" s="24">
        <f>SUM(S169:S170)</f>
        <v>0</v>
      </c>
      <c r="T171" s="24">
        <f>SUM(T169:T170)</f>
        <v>0</v>
      </c>
      <c r="U171" s="24">
        <f>SUM(U169:U170)</f>
        <v>0</v>
      </c>
      <c r="V171" s="26">
        <f>IF(I171-Q171=0,"",IF(D171="",(P171+S171)/(I171-Q171),IF(AND(D171&lt;&gt;"",(P171+S171)/(I171-Q171)&gt;=50%),(P171+S171)/(I171-Q171),"")))</f>
        <v>1</v>
      </c>
      <c r="W171" s="26">
        <f>IF(I171=O171,"",IF(V171="",0,(P171+Q171+S171-O171)/(I171-O171)))</f>
        <v>1</v>
      </c>
      <c r="X171" s="49"/>
      <c r="Y171" s="49"/>
      <c r="Z171" s="49"/>
      <c r="AA171" s="49"/>
      <c r="AB171" s="50"/>
      <c r="AC171" s="49"/>
      <c r="AD171" s="49"/>
      <c r="AE171" s="49"/>
      <c r="AF171" s="49"/>
      <c r="AG171" s="49"/>
      <c r="AH171" s="49"/>
      <c r="AI171" s="49"/>
      <c r="AJ171" s="49"/>
      <c r="AK171" s="49"/>
      <c r="AL171" s="49"/>
      <c r="AM171" s="49"/>
      <c r="AN171" s="49"/>
      <c r="AO171" s="49"/>
    </row>
    <row r="172" spans="1:41" s="39" customFormat="1" ht="24" customHeight="1">
      <c r="A172" s="32"/>
      <c r="B172" s="107" t="s">
        <v>69</v>
      </c>
      <c r="C172" s="14" t="s">
        <v>2</v>
      </c>
      <c r="D172" s="29" t="s">
        <v>179</v>
      </c>
      <c r="E172" s="16" t="s">
        <v>176</v>
      </c>
      <c r="F172" s="15"/>
      <c r="G172" s="15"/>
      <c r="H172" s="15"/>
      <c r="I172" s="17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8"/>
      <c r="W172" s="18"/>
      <c r="X172" s="30"/>
      <c r="Y172" s="30"/>
      <c r="Z172" s="30"/>
      <c r="AA172" s="30"/>
      <c r="AB172" s="34"/>
      <c r="AC172" s="30"/>
      <c r="AD172" s="30"/>
      <c r="AE172" s="30"/>
      <c r="AF172" s="30"/>
      <c r="AG172" s="30"/>
      <c r="AH172" s="30"/>
      <c r="AI172" s="30"/>
      <c r="AJ172" s="30"/>
      <c r="AK172" s="30"/>
      <c r="AL172" s="30"/>
      <c r="AM172" s="30"/>
      <c r="AN172" s="30"/>
      <c r="AO172" s="30"/>
    </row>
    <row r="173" spans="1:41" s="39" customFormat="1" ht="15.75" customHeight="1">
      <c r="A173" s="32"/>
      <c r="B173" s="107"/>
      <c r="C173" s="20" t="str">
        <f>IF(A173="","VARA",VLOOKUP(A173,'[1]varas'!$A$4:$B$67,2))</f>
        <v>VARA</v>
      </c>
      <c r="D173" s="15"/>
      <c r="E173" s="16"/>
      <c r="F173" s="15">
        <v>0</v>
      </c>
      <c r="G173" s="15">
        <v>0</v>
      </c>
      <c r="H173" s="15">
        <v>0</v>
      </c>
      <c r="I173" s="17">
        <f>SUM(F173:H173)</f>
        <v>0</v>
      </c>
      <c r="J173" s="15">
        <v>0</v>
      </c>
      <c r="K173" s="15">
        <v>0</v>
      </c>
      <c r="L173" s="15">
        <v>0</v>
      </c>
      <c r="M173" s="15">
        <v>0</v>
      </c>
      <c r="N173" s="15">
        <v>0</v>
      </c>
      <c r="O173" s="15">
        <v>0</v>
      </c>
      <c r="P173" s="15">
        <f>SUM(J173:O173)</f>
        <v>0</v>
      </c>
      <c r="Q173" s="15">
        <v>0</v>
      </c>
      <c r="R173" s="15">
        <v>0</v>
      </c>
      <c r="S173" s="15">
        <v>0</v>
      </c>
      <c r="T173" s="15">
        <v>0</v>
      </c>
      <c r="U173" s="15">
        <v>0</v>
      </c>
      <c r="V173" s="18"/>
      <c r="W173" s="18"/>
      <c r="X173" s="30"/>
      <c r="Y173" s="30"/>
      <c r="Z173" s="30"/>
      <c r="AA173" s="30"/>
      <c r="AB173" s="34"/>
      <c r="AC173" s="30"/>
      <c r="AD173" s="30"/>
      <c r="AE173" s="30"/>
      <c r="AF173" s="30"/>
      <c r="AG173" s="30"/>
      <c r="AH173" s="30"/>
      <c r="AI173" s="30"/>
      <c r="AJ173" s="30"/>
      <c r="AK173" s="30"/>
      <c r="AL173" s="30"/>
      <c r="AM173" s="30"/>
      <c r="AN173" s="30"/>
      <c r="AO173" s="30"/>
    </row>
    <row r="174" spans="1:41" s="39" customFormat="1" ht="15.75" customHeight="1">
      <c r="A174" s="32"/>
      <c r="B174" s="107"/>
      <c r="C174" s="21" t="s">
        <v>12</v>
      </c>
      <c r="D174" s="33"/>
      <c r="E174" s="23"/>
      <c r="F174" s="24">
        <f>SUM(F172:F173)</f>
        <v>0</v>
      </c>
      <c r="G174" s="24">
        <f>SUM(G172:G173)</f>
        <v>0</v>
      </c>
      <c r="H174" s="24">
        <f>SUM(H172:H173)</f>
        <v>0</v>
      </c>
      <c r="I174" s="40">
        <f>SUM(F174:H174)</f>
        <v>0</v>
      </c>
      <c r="J174" s="24">
        <f aca="true" t="shared" si="52" ref="J174:O174">SUM(J172:J173)</f>
        <v>0</v>
      </c>
      <c r="K174" s="24">
        <f t="shared" si="52"/>
        <v>0</v>
      </c>
      <c r="L174" s="24">
        <f t="shared" si="52"/>
        <v>0</v>
      </c>
      <c r="M174" s="24">
        <f t="shared" si="52"/>
        <v>0</v>
      </c>
      <c r="N174" s="24">
        <f t="shared" si="52"/>
        <v>0</v>
      </c>
      <c r="O174" s="24">
        <f t="shared" si="52"/>
        <v>0</v>
      </c>
      <c r="P174" s="24">
        <f>SUM(J174:O174)</f>
        <v>0</v>
      </c>
      <c r="Q174" s="24">
        <f>SUM(Q172:Q173)</f>
        <v>0</v>
      </c>
      <c r="R174" s="24">
        <f>SUM(R172:R173)</f>
        <v>0</v>
      </c>
      <c r="S174" s="24">
        <f>SUM(S172:S173)</f>
        <v>0</v>
      </c>
      <c r="T174" s="24">
        <f>SUM(T172:T173)</f>
        <v>0</v>
      </c>
      <c r="U174" s="24">
        <f>SUM(U172:U173)</f>
        <v>0</v>
      </c>
      <c r="V174" s="26">
        <f>IF(I174-Q174=0,"",IF(D174="",(P174+S174)/(I174-Q174),IF(AND(D174&lt;&gt;"",(P174+S174)/(I174-Q174)&gt;=50%),(P174+S174)/(I174-Q174),"")))</f>
      </c>
      <c r="W174" s="26">
        <f>IF(I174=O174,"",IF(V174="",0,(P174+Q174+S174-O174)/(I174-O174)))</f>
      </c>
      <c r="X174" s="30"/>
      <c r="Y174" s="30"/>
      <c r="Z174" s="30"/>
      <c r="AA174" s="30"/>
      <c r="AB174" s="34"/>
      <c r="AC174" s="30"/>
      <c r="AD174" s="30"/>
      <c r="AE174" s="30"/>
      <c r="AF174" s="30"/>
      <c r="AG174" s="30"/>
      <c r="AH174" s="30"/>
      <c r="AI174" s="30"/>
      <c r="AJ174" s="30"/>
      <c r="AK174" s="30"/>
      <c r="AL174" s="30"/>
      <c r="AM174" s="30"/>
      <c r="AN174" s="30"/>
      <c r="AO174" s="30"/>
    </row>
    <row r="175" spans="1:41" s="39" customFormat="1" ht="22.5" customHeight="1">
      <c r="A175" s="32"/>
      <c r="B175" s="107" t="s">
        <v>70</v>
      </c>
      <c r="C175" s="14" t="s">
        <v>2</v>
      </c>
      <c r="D175" s="29" t="s">
        <v>207</v>
      </c>
      <c r="E175" s="16" t="s">
        <v>208</v>
      </c>
      <c r="F175" s="15"/>
      <c r="G175" s="15"/>
      <c r="H175" s="15"/>
      <c r="I175" s="17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8"/>
      <c r="W175" s="18"/>
      <c r="X175" s="30"/>
      <c r="Y175" s="30"/>
      <c r="Z175" s="30"/>
      <c r="AA175" s="30"/>
      <c r="AB175" s="34"/>
      <c r="AC175" s="30"/>
      <c r="AD175" s="30"/>
      <c r="AE175" s="30"/>
      <c r="AF175" s="30"/>
      <c r="AG175" s="30"/>
      <c r="AH175" s="30"/>
      <c r="AI175" s="30"/>
      <c r="AJ175" s="30"/>
      <c r="AK175" s="30"/>
      <c r="AL175" s="30"/>
      <c r="AM175" s="30"/>
      <c r="AN175" s="30"/>
      <c r="AO175" s="30"/>
    </row>
    <row r="176" spans="1:41" s="39" customFormat="1" ht="17.25" customHeight="1">
      <c r="A176" s="32"/>
      <c r="B176" s="107"/>
      <c r="C176" s="20" t="str">
        <f>IF(A176="","VARA",VLOOKUP(A176,'[1]varas'!$A$4:$B$67,2))</f>
        <v>VARA</v>
      </c>
      <c r="D176" s="29"/>
      <c r="E176" s="16"/>
      <c r="F176" s="15">
        <v>0</v>
      </c>
      <c r="G176" s="15">
        <v>0</v>
      </c>
      <c r="H176" s="15">
        <v>0</v>
      </c>
      <c r="I176" s="17">
        <f>SUM(F176:H176)</f>
        <v>0</v>
      </c>
      <c r="J176" s="15">
        <v>0</v>
      </c>
      <c r="K176" s="15">
        <v>0</v>
      </c>
      <c r="L176" s="15">
        <v>0</v>
      </c>
      <c r="M176" s="15">
        <v>0</v>
      </c>
      <c r="N176" s="15">
        <v>0</v>
      </c>
      <c r="O176" s="15">
        <v>0</v>
      </c>
      <c r="P176" s="15">
        <f>SUM(J176:O176)</f>
        <v>0</v>
      </c>
      <c r="Q176" s="15">
        <v>0</v>
      </c>
      <c r="R176" s="15">
        <v>0</v>
      </c>
      <c r="S176" s="15">
        <v>0</v>
      </c>
      <c r="T176" s="15">
        <v>0</v>
      </c>
      <c r="U176" s="15">
        <v>0</v>
      </c>
      <c r="V176" s="18"/>
      <c r="W176" s="18"/>
      <c r="X176" s="30"/>
      <c r="Y176" s="30"/>
      <c r="Z176" s="30"/>
      <c r="AA176" s="30"/>
      <c r="AB176" s="34"/>
      <c r="AC176" s="30"/>
      <c r="AD176" s="30"/>
      <c r="AE176" s="30"/>
      <c r="AF176" s="30"/>
      <c r="AG176" s="30"/>
      <c r="AH176" s="30"/>
      <c r="AI176" s="30"/>
      <c r="AJ176" s="30"/>
      <c r="AK176" s="30"/>
      <c r="AL176" s="30"/>
      <c r="AM176" s="30"/>
      <c r="AN176" s="30"/>
      <c r="AO176" s="30"/>
    </row>
    <row r="177" spans="1:41" s="39" customFormat="1" ht="17.25" customHeight="1">
      <c r="A177" s="32"/>
      <c r="B177" s="107"/>
      <c r="C177" s="21" t="s">
        <v>12</v>
      </c>
      <c r="D177" s="33"/>
      <c r="E177" s="23"/>
      <c r="F177" s="24">
        <f>SUM(F175:F176)</f>
        <v>0</v>
      </c>
      <c r="G177" s="24">
        <f>SUM(G175:G176)</f>
        <v>0</v>
      </c>
      <c r="H177" s="24">
        <f>SUM(H175:H176)</f>
        <v>0</v>
      </c>
      <c r="I177" s="40">
        <f>SUM(F177:H177)</f>
        <v>0</v>
      </c>
      <c r="J177" s="24">
        <f aca="true" t="shared" si="53" ref="J177:O177">SUM(J175:J176)</f>
        <v>0</v>
      </c>
      <c r="K177" s="24">
        <f t="shared" si="53"/>
        <v>0</v>
      </c>
      <c r="L177" s="24">
        <f t="shared" si="53"/>
        <v>0</v>
      </c>
      <c r="M177" s="24">
        <f t="shared" si="53"/>
        <v>0</v>
      </c>
      <c r="N177" s="24">
        <f t="shared" si="53"/>
        <v>0</v>
      </c>
      <c r="O177" s="24">
        <f t="shared" si="53"/>
        <v>0</v>
      </c>
      <c r="P177" s="24">
        <f>SUM(J177:O177)</f>
        <v>0</v>
      </c>
      <c r="Q177" s="24">
        <f>SUM(Q175:Q176)</f>
        <v>0</v>
      </c>
      <c r="R177" s="24">
        <f>SUM(R175:R176)</f>
        <v>0</v>
      </c>
      <c r="S177" s="24">
        <f>SUM(S175:S176)</f>
        <v>0</v>
      </c>
      <c r="T177" s="24">
        <f>SUM(T175:T176)</f>
        <v>0</v>
      </c>
      <c r="U177" s="24">
        <f>SUM(U175:U176)</f>
        <v>0</v>
      </c>
      <c r="V177" s="26">
        <f>IF(I177-Q177=0,"",IF(D177="",(P177+S177)/(I177-Q177),IF(AND(D177&lt;&gt;"",(P177+S177)/(I177-Q177)&gt;=50%),(P177+S177)/(I177-Q177),"")))</f>
      </c>
      <c r="W177" s="26">
        <f>IF(I177=O177,"",IF(V177="",0,(P177+Q177+S177-O177)/(I177-O177)))</f>
      </c>
      <c r="X177" s="30"/>
      <c r="Y177" s="30"/>
      <c r="Z177" s="30"/>
      <c r="AA177" s="30"/>
      <c r="AB177" s="34"/>
      <c r="AC177" s="30"/>
      <c r="AD177" s="30"/>
      <c r="AE177" s="30"/>
      <c r="AF177" s="30"/>
      <c r="AG177" s="30"/>
      <c r="AH177" s="30"/>
      <c r="AI177" s="30"/>
      <c r="AJ177" s="30"/>
      <c r="AK177" s="30"/>
      <c r="AL177" s="30"/>
      <c r="AM177" s="30"/>
      <c r="AN177" s="30"/>
      <c r="AO177" s="30"/>
    </row>
    <row r="178" spans="1:41" s="39" customFormat="1" ht="21" customHeight="1">
      <c r="A178" s="32"/>
      <c r="B178" s="107" t="s">
        <v>71</v>
      </c>
      <c r="C178" s="14" t="s">
        <v>2</v>
      </c>
      <c r="D178" s="29" t="s">
        <v>30</v>
      </c>
      <c r="E178" s="16" t="s">
        <v>209</v>
      </c>
      <c r="F178" s="15"/>
      <c r="G178" s="15"/>
      <c r="H178" s="15"/>
      <c r="I178" s="17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8"/>
      <c r="W178" s="18"/>
      <c r="X178" s="30"/>
      <c r="Y178" s="30"/>
      <c r="Z178" s="30"/>
      <c r="AA178" s="30"/>
      <c r="AB178" s="34"/>
      <c r="AC178" s="30"/>
      <c r="AD178" s="30"/>
      <c r="AE178" s="30"/>
      <c r="AF178" s="30"/>
      <c r="AG178" s="30"/>
      <c r="AH178" s="30"/>
      <c r="AI178" s="30"/>
      <c r="AJ178" s="30"/>
      <c r="AK178" s="30"/>
      <c r="AL178" s="30"/>
      <c r="AM178" s="30"/>
      <c r="AN178" s="30"/>
      <c r="AO178" s="30"/>
    </row>
    <row r="179" spans="1:41" s="39" customFormat="1" ht="19.5" customHeight="1">
      <c r="A179" s="32">
        <v>47</v>
      </c>
      <c r="B179" s="107"/>
      <c r="C179" s="20" t="str">
        <f>IF(A179="","VARA",VLOOKUP(A179,'[1]varas'!$A$4:$B$67,2))</f>
        <v>VT Carpina</v>
      </c>
      <c r="D179" s="15"/>
      <c r="E179" s="16"/>
      <c r="F179" s="15">
        <v>1</v>
      </c>
      <c r="G179" s="15">
        <v>6</v>
      </c>
      <c r="H179" s="15">
        <v>7</v>
      </c>
      <c r="I179" s="17">
        <f>SUM(F179:H179)</f>
        <v>14</v>
      </c>
      <c r="J179" s="15">
        <v>0</v>
      </c>
      <c r="K179" s="15">
        <v>1</v>
      </c>
      <c r="L179" s="15">
        <v>0</v>
      </c>
      <c r="M179" s="15">
        <v>0</v>
      </c>
      <c r="N179" s="15">
        <v>0</v>
      </c>
      <c r="O179" s="15">
        <v>0</v>
      </c>
      <c r="P179" s="15">
        <f>SUM(J179:O179)</f>
        <v>1</v>
      </c>
      <c r="Q179" s="15">
        <v>0</v>
      </c>
      <c r="R179" s="15">
        <v>13</v>
      </c>
      <c r="S179" s="15">
        <v>0</v>
      </c>
      <c r="T179" s="15">
        <v>0</v>
      </c>
      <c r="U179" s="15">
        <v>1</v>
      </c>
      <c r="V179" s="18"/>
      <c r="W179" s="18"/>
      <c r="X179" s="30"/>
      <c r="Y179" s="30"/>
      <c r="Z179" s="30"/>
      <c r="AA179" s="30"/>
      <c r="AB179" s="34"/>
      <c r="AC179" s="30"/>
      <c r="AD179" s="30"/>
      <c r="AE179" s="30"/>
      <c r="AF179" s="30"/>
      <c r="AG179" s="30"/>
      <c r="AH179" s="30"/>
      <c r="AI179" s="30"/>
      <c r="AJ179" s="30"/>
      <c r="AK179" s="30"/>
      <c r="AL179" s="30"/>
      <c r="AM179" s="30"/>
      <c r="AN179" s="30"/>
      <c r="AO179" s="30"/>
    </row>
    <row r="180" spans="1:41" s="53" customFormat="1" ht="15.75" customHeight="1">
      <c r="A180" s="47"/>
      <c r="B180" s="107"/>
      <c r="C180" s="20" t="s">
        <v>12</v>
      </c>
      <c r="D180" s="24"/>
      <c r="E180" s="48"/>
      <c r="F180" s="24">
        <f>SUM(F178:F179)</f>
        <v>1</v>
      </c>
      <c r="G180" s="24">
        <f>SUM(G178:G179)</f>
        <v>6</v>
      </c>
      <c r="H180" s="24">
        <f>SUM(H178:H179)</f>
        <v>7</v>
      </c>
      <c r="I180" s="40">
        <f>SUM(F180:H180)</f>
        <v>14</v>
      </c>
      <c r="J180" s="24">
        <f aca="true" t="shared" si="54" ref="J180:O180">SUM(J178:J179)</f>
        <v>0</v>
      </c>
      <c r="K180" s="24">
        <f t="shared" si="54"/>
        <v>1</v>
      </c>
      <c r="L180" s="24">
        <f t="shared" si="54"/>
        <v>0</v>
      </c>
      <c r="M180" s="24">
        <f t="shared" si="54"/>
        <v>0</v>
      </c>
      <c r="N180" s="24">
        <f t="shared" si="54"/>
        <v>0</v>
      </c>
      <c r="O180" s="24">
        <f t="shared" si="54"/>
        <v>0</v>
      </c>
      <c r="P180" s="24">
        <f>SUM(J180:O180)</f>
        <v>1</v>
      </c>
      <c r="Q180" s="24">
        <f>SUM(Q178:Q179)</f>
        <v>0</v>
      </c>
      <c r="R180" s="24">
        <f>SUM(R178:R179)</f>
        <v>13</v>
      </c>
      <c r="S180" s="24">
        <f>SUM(S178:S179)</f>
        <v>0</v>
      </c>
      <c r="T180" s="24">
        <f>SUM(T178:T179)</f>
        <v>0</v>
      </c>
      <c r="U180" s="24">
        <f>SUM(U178:U179)</f>
        <v>1</v>
      </c>
      <c r="V180" s="26">
        <f>IF(I180-Q180=0,"",IF(D180="",(P180+S180)/(I180-Q180),IF(AND(D180&lt;&gt;"",(P180+S180)/(I180-Q180)&gt;=50%),(P180+S180)/(I180-Q180),"")))</f>
        <v>0.07142857142857142</v>
      </c>
      <c r="W180" s="26">
        <f>IF(I180=O180,"",IF(V180="",0,(P180+Q180+S180-O180)/(I180-O180)))</f>
        <v>0.07142857142857142</v>
      </c>
      <c r="X180" s="49"/>
      <c r="Y180" s="49"/>
      <c r="Z180" s="49"/>
      <c r="AA180" s="49"/>
      <c r="AB180" s="50"/>
      <c r="AC180" s="49"/>
      <c r="AD180" s="49"/>
      <c r="AE180" s="49"/>
      <c r="AF180" s="49"/>
      <c r="AG180" s="49"/>
      <c r="AH180" s="49"/>
      <c r="AI180" s="49"/>
      <c r="AJ180" s="49"/>
      <c r="AK180" s="49"/>
      <c r="AL180" s="49"/>
      <c r="AM180" s="49"/>
      <c r="AN180" s="49"/>
      <c r="AO180" s="49"/>
    </row>
    <row r="181" spans="1:41" s="39" customFormat="1" ht="18.75" customHeight="1">
      <c r="A181" s="32"/>
      <c r="B181" s="107" t="s">
        <v>72</v>
      </c>
      <c r="C181" s="14" t="s">
        <v>2</v>
      </c>
      <c r="D181" s="15"/>
      <c r="E181" s="16" t="s">
        <v>27</v>
      </c>
      <c r="F181" s="15"/>
      <c r="G181" s="15"/>
      <c r="H181" s="15"/>
      <c r="I181" s="17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8"/>
      <c r="W181" s="18"/>
      <c r="X181" s="30"/>
      <c r="Y181" s="30"/>
      <c r="Z181" s="30"/>
      <c r="AA181" s="30"/>
      <c r="AB181" s="34"/>
      <c r="AC181" s="30"/>
      <c r="AD181" s="30"/>
      <c r="AE181" s="30"/>
      <c r="AF181" s="30"/>
      <c r="AG181" s="30"/>
      <c r="AH181" s="30"/>
      <c r="AI181" s="30"/>
      <c r="AJ181" s="30"/>
      <c r="AK181" s="30"/>
      <c r="AL181" s="30"/>
      <c r="AM181" s="30"/>
      <c r="AN181" s="30"/>
      <c r="AO181" s="30"/>
    </row>
    <row r="182" spans="1:41" s="39" customFormat="1" ht="18.75" customHeight="1">
      <c r="A182" s="32">
        <v>5</v>
      </c>
      <c r="B182" s="107"/>
      <c r="C182" s="20" t="str">
        <f>IF(A182="","VARA",VLOOKUP(A182,'[1]varas'!$A$4:$B$67,2))</f>
        <v>5ª VT Recife</v>
      </c>
      <c r="D182" s="15"/>
      <c r="E182" s="16"/>
      <c r="F182" s="15">
        <f>60+68+27+8+4</f>
        <v>167</v>
      </c>
      <c r="G182" s="15">
        <v>14</v>
      </c>
      <c r="H182" s="15">
        <v>4</v>
      </c>
      <c r="I182" s="17">
        <f>SUM(F182:H182)</f>
        <v>185</v>
      </c>
      <c r="J182" s="15">
        <v>36</v>
      </c>
      <c r="K182" s="15">
        <v>25</v>
      </c>
      <c r="L182" s="15">
        <v>27</v>
      </c>
      <c r="M182" s="15">
        <v>8</v>
      </c>
      <c r="N182" s="15">
        <v>4</v>
      </c>
      <c r="O182" s="15">
        <v>68</v>
      </c>
      <c r="P182" s="15">
        <f>SUM(J182:O182)</f>
        <v>168</v>
      </c>
      <c r="Q182" s="15">
        <v>10</v>
      </c>
      <c r="R182" s="15">
        <v>7</v>
      </c>
      <c r="S182" s="15">
        <v>0</v>
      </c>
      <c r="T182" s="15">
        <v>0</v>
      </c>
      <c r="U182" s="15">
        <v>277</v>
      </c>
      <c r="V182" s="18"/>
      <c r="W182" s="18"/>
      <c r="X182" s="30"/>
      <c r="Y182" s="30"/>
      <c r="Z182" s="30"/>
      <c r="AA182" s="30"/>
      <c r="AB182" s="34"/>
      <c r="AC182" s="30"/>
      <c r="AD182" s="30"/>
      <c r="AE182" s="30"/>
      <c r="AF182" s="30"/>
      <c r="AG182" s="30"/>
      <c r="AH182" s="30"/>
      <c r="AI182" s="30"/>
      <c r="AJ182" s="30"/>
      <c r="AK182" s="30"/>
      <c r="AL182" s="30"/>
      <c r="AM182" s="30"/>
      <c r="AN182" s="30"/>
      <c r="AO182" s="30"/>
    </row>
    <row r="183" spans="1:41" s="39" customFormat="1" ht="18" customHeight="1">
      <c r="A183" s="32"/>
      <c r="B183" s="107"/>
      <c r="C183" s="21" t="s">
        <v>12</v>
      </c>
      <c r="D183" s="33"/>
      <c r="E183" s="23"/>
      <c r="F183" s="24">
        <f>SUM(F181:F182)</f>
        <v>167</v>
      </c>
      <c r="G183" s="24">
        <f>SUM(G181:G182)</f>
        <v>14</v>
      </c>
      <c r="H183" s="24">
        <f>SUM(H181:H182)</f>
        <v>4</v>
      </c>
      <c r="I183" s="25">
        <f>SUM(F183:H183)</f>
        <v>185</v>
      </c>
      <c r="J183" s="24">
        <f aca="true" t="shared" si="55" ref="J183:O183">SUM(J181:J182)</f>
        <v>36</v>
      </c>
      <c r="K183" s="24">
        <f t="shared" si="55"/>
        <v>25</v>
      </c>
      <c r="L183" s="24">
        <f t="shared" si="55"/>
        <v>27</v>
      </c>
      <c r="M183" s="24">
        <f t="shared" si="55"/>
        <v>8</v>
      </c>
      <c r="N183" s="24">
        <f t="shared" si="55"/>
        <v>4</v>
      </c>
      <c r="O183" s="24">
        <f t="shared" si="55"/>
        <v>68</v>
      </c>
      <c r="P183" s="24">
        <f>SUM(J183:O183)</f>
        <v>168</v>
      </c>
      <c r="Q183" s="24">
        <f>SUM(Q181:Q182)</f>
        <v>10</v>
      </c>
      <c r="R183" s="24">
        <f>SUM(R181:R182)</f>
        <v>7</v>
      </c>
      <c r="S183" s="24">
        <f>SUM(S181:S182)</f>
        <v>0</v>
      </c>
      <c r="T183" s="24">
        <f>SUM(T181:T182)</f>
        <v>0</v>
      </c>
      <c r="U183" s="24">
        <f>SUM(U181:U182)</f>
        <v>277</v>
      </c>
      <c r="V183" s="26">
        <f>IF(I183-Q183=0,"",IF(D183="",(P183+S183)/(I183-Q183),IF(AND(D183&lt;&gt;"",(P183+S183)/(I183-Q183)&gt;=50%),(P183+S183)/(I183-Q183),"")))</f>
        <v>0.96</v>
      </c>
      <c r="W183" s="26">
        <f>IF(I183=O183,"",IF(V183="",0,(P183+Q183+S183-O183)/(I183-O183)))</f>
        <v>0.9401709401709402</v>
      </c>
      <c r="X183" s="30"/>
      <c r="Y183" s="30"/>
      <c r="Z183" s="30"/>
      <c r="AA183" s="30"/>
      <c r="AB183" s="34"/>
      <c r="AC183" s="30"/>
      <c r="AD183" s="30"/>
      <c r="AE183" s="30"/>
      <c r="AF183" s="30"/>
      <c r="AG183" s="30"/>
      <c r="AH183" s="30"/>
      <c r="AI183" s="30"/>
      <c r="AJ183" s="30"/>
      <c r="AK183" s="30"/>
      <c r="AL183" s="30"/>
      <c r="AM183" s="30"/>
      <c r="AN183" s="30"/>
      <c r="AO183" s="30"/>
    </row>
    <row r="184" spans="1:41" s="39" customFormat="1" ht="24.75" customHeight="1">
      <c r="A184" s="32"/>
      <c r="B184" s="107" t="s">
        <v>73</v>
      </c>
      <c r="C184" s="14" t="s">
        <v>2</v>
      </c>
      <c r="D184" s="29" t="s">
        <v>180</v>
      </c>
      <c r="E184" s="16" t="s">
        <v>210</v>
      </c>
      <c r="F184" s="15"/>
      <c r="G184" s="15"/>
      <c r="H184" s="15"/>
      <c r="I184" s="17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8"/>
      <c r="W184" s="18"/>
      <c r="X184" s="30"/>
      <c r="Y184" s="30"/>
      <c r="Z184" s="30"/>
      <c r="AA184" s="30"/>
      <c r="AB184" s="34"/>
      <c r="AC184" s="30"/>
      <c r="AD184" s="30"/>
      <c r="AE184" s="30"/>
      <c r="AF184" s="30"/>
      <c r="AG184" s="30"/>
      <c r="AH184" s="30"/>
      <c r="AI184" s="30"/>
      <c r="AJ184" s="30"/>
      <c r="AK184" s="30"/>
      <c r="AL184" s="30"/>
      <c r="AM184" s="30"/>
      <c r="AN184" s="30"/>
      <c r="AO184" s="30"/>
    </row>
    <row r="185" spans="1:41" s="39" customFormat="1" ht="16.5" customHeight="1">
      <c r="A185" s="32">
        <v>12</v>
      </c>
      <c r="B185" s="107"/>
      <c r="C185" s="20" t="str">
        <f>IF(A185="","VARA",VLOOKUP(A185,'[1]varas'!$A$4:$B$67,2))</f>
        <v>12ª VT Recife</v>
      </c>
      <c r="D185" s="29"/>
      <c r="E185" s="16"/>
      <c r="F185" s="15">
        <f>51+32+2</f>
        <v>85</v>
      </c>
      <c r="G185" s="15">
        <v>18</v>
      </c>
      <c r="H185" s="15">
        <v>53</v>
      </c>
      <c r="I185" s="17">
        <f>SUM(F185:H185)</f>
        <v>156</v>
      </c>
      <c r="J185" s="15">
        <v>44</v>
      </c>
      <c r="K185" s="15">
        <v>9</v>
      </c>
      <c r="L185" s="15">
        <v>2</v>
      </c>
      <c r="M185" s="15">
        <v>0</v>
      </c>
      <c r="N185" s="15">
        <v>0</v>
      </c>
      <c r="O185" s="15">
        <v>32</v>
      </c>
      <c r="P185" s="15">
        <f>SUM(J185:O185)</f>
        <v>87</v>
      </c>
      <c r="Q185" s="15">
        <v>26</v>
      </c>
      <c r="R185" s="15">
        <v>41</v>
      </c>
      <c r="S185" s="15">
        <v>0</v>
      </c>
      <c r="T185" s="15">
        <v>2</v>
      </c>
      <c r="U185" s="15">
        <v>162</v>
      </c>
      <c r="V185" s="18"/>
      <c r="W185" s="18"/>
      <c r="X185" s="30"/>
      <c r="Y185" s="30"/>
      <c r="Z185" s="30"/>
      <c r="AA185" s="30"/>
      <c r="AB185" s="34"/>
      <c r="AC185" s="30"/>
      <c r="AD185" s="30"/>
      <c r="AE185" s="30"/>
      <c r="AF185" s="30"/>
      <c r="AG185" s="30"/>
      <c r="AH185" s="30"/>
      <c r="AI185" s="30"/>
      <c r="AJ185" s="30"/>
      <c r="AK185" s="30"/>
      <c r="AL185" s="30"/>
      <c r="AM185" s="30"/>
      <c r="AN185" s="30"/>
      <c r="AO185" s="30"/>
    </row>
    <row r="186" spans="1:41" s="53" customFormat="1" ht="15" customHeight="1">
      <c r="A186" s="47"/>
      <c r="B186" s="107"/>
      <c r="C186" s="21" t="s">
        <v>12</v>
      </c>
      <c r="D186" s="51"/>
      <c r="E186" s="52"/>
      <c r="F186" s="24">
        <f>SUM(F184:F185)</f>
        <v>85</v>
      </c>
      <c r="G186" s="24">
        <f>SUM(G184:G185)</f>
        <v>18</v>
      </c>
      <c r="H186" s="24">
        <f>SUM(H184:H185)</f>
        <v>53</v>
      </c>
      <c r="I186" s="25">
        <f>SUM(F186:H186)</f>
        <v>156</v>
      </c>
      <c r="J186" s="24">
        <f aca="true" t="shared" si="56" ref="J186:O186">SUM(J184:J185)</f>
        <v>44</v>
      </c>
      <c r="K186" s="24">
        <f t="shared" si="56"/>
        <v>9</v>
      </c>
      <c r="L186" s="24">
        <f t="shared" si="56"/>
        <v>2</v>
      </c>
      <c r="M186" s="24">
        <f t="shared" si="56"/>
        <v>0</v>
      </c>
      <c r="N186" s="24">
        <f t="shared" si="56"/>
        <v>0</v>
      </c>
      <c r="O186" s="24">
        <f t="shared" si="56"/>
        <v>32</v>
      </c>
      <c r="P186" s="24">
        <f>SUM(J186:O186)</f>
        <v>87</v>
      </c>
      <c r="Q186" s="24">
        <f>SUM(Q184:Q185)</f>
        <v>26</v>
      </c>
      <c r="R186" s="24">
        <f>SUM(R184:R185)</f>
        <v>41</v>
      </c>
      <c r="S186" s="24">
        <f>SUM(S184:S185)</f>
        <v>0</v>
      </c>
      <c r="T186" s="24">
        <f>SUM(T184:T185)</f>
        <v>2</v>
      </c>
      <c r="U186" s="24">
        <f>SUM(U184:U185)</f>
        <v>162</v>
      </c>
      <c r="V186" s="26">
        <f>IF(I186-Q186=0,"",IF(D186="",(P186+S186)/(I186-Q186),IF(AND(D186&lt;&gt;"",(P186+S186)/(I186-Q186)&gt;=50%),(P186+S186)/(I186-Q186),"")))</f>
        <v>0.6692307692307692</v>
      </c>
      <c r="W186" s="26">
        <f>IF(I186=O186,"",IF(V186="",0,(P186+Q186+S186-O186)/(I186-O186)))</f>
        <v>0.6532258064516129</v>
      </c>
      <c r="X186" s="49"/>
      <c r="Y186" s="49"/>
      <c r="Z186" s="49"/>
      <c r="AA186" s="49"/>
      <c r="AB186" s="50"/>
      <c r="AC186" s="49"/>
      <c r="AD186" s="49"/>
      <c r="AE186" s="49"/>
      <c r="AF186" s="49"/>
      <c r="AG186" s="49"/>
      <c r="AH186" s="49"/>
      <c r="AI186" s="49"/>
      <c r="AJ186" s="49"/>
      <c r="AK186" s="49"/>
      <c r="AL186" s="49"/>
      <c r="AM186" s="49"/>
      <c r="AN186" s="49"/>
      <c r="AO186" s="49"/>
    </row>
    <row r="187" spans="1:41" s="39" customFormat="1" ht="21.75" customHeight="1">
      <c r="A187" s="32"/>
      <c r="B187" s="107" t="s">
        <v>74</v>
      </c>
      <c r="C187" s="14" t="s">
        <v>164</v>
      </c>
      <c r="D187" s="29"/>
      <c r="E187" s="16" t="s">
        <v>27</v>
      </c>
      <c r="F187" s="15"/>
      <c r="G187" s="15"/>
      <c r="H187" s="15"/>
      <c r="I187" s="17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8"/>
      <c r="W187" s="18"/>
      <c r="X187" s="30"/>
      <c r="Y187" s="30"/>
      <c r="Z187" s="30"/>
      <c r="AA187" s="30"/>
      <c r="AB187" s="34"/>
      <c r="AC187" s="30"/>
      <c r="AD187" s="30"/>
      <c r="AE187" s="30"/>
      <c r="AF187" s="30"/>
      <c r="AG187" s="30"/>
      <c r="AH187" s="30"/>
      <c r="AI187" s="30"/>
      <c r="AJ187" s="30"/>
      <c r="AK187" s="30"/>
      <c r="AL187" s="30"/>
      <c r="AM187" s="30"/>
      <c r="AN187" s="30"/>
      <c r="AO187" s="30"/>
    </row>
    <row r="188" spans="1:41" s="39" customFormat="1" ht="18" customHeight="1">
      <c r="A188" s="32">
        <v>31</v>
      </c>
      <c r="B188" s="107"/>
      <c r="C188" s="20" t="str">
        <f>IF(A188="","VARA",VLOOKUP(A188,'[1]varas'!$A$4:$B$67,2))</f>
        <v>VT Igarassu</v>
      </c>
      <c r="D188" s="15"/>
      <c r="E188" s="16"/>
      <c r="F188" s="15">
        <f>30+85+10</f>
        <v>125</v>
      </c>
      <c r="G188" s="15">
        <v>0</v>
      </c>
      <c r="H188" s="15">
        <v>0</v>
      </c>
      <c r="I188" s="17">
        <f>SUM(F188:H188)</f>
        <v>125</v>
      </c>
      <c r="J188" s="15">
        <v>18</v>
      </c>
      <c r="K188" s="15">
        <v>12</v>
      </c>
      <c r="L188" s="15">
        <v>10</v>
      </c>
      <c r="M188" s="15">
        <v>0</v>
      </c>
      <c r="N188" s="15">
        <v>0</v>
      </c>
      <c r="O188" s="15">
        <v>85</v>
      </c>
      <c r="P188" s="15">
        <f>SUM(J188:O188)</f>
        <v>125</v>
      </c>
      <c r="Q188" s="15">
        <v>0</v>
      </c>
      <c r="R188" s="15">
        <v>0</v>
      </c>
      <c r="S188" s="15">
        <v>0</v>
      </c>
      <c r="T188" s="15">
        <v>0</v>
      </c>
      <c r="U188" s="15">
        <v>289</v>
      </c>
      <c r="V188" s="18"/>
      <c r="W188" s="18"/>
      <c r="X188" s="30"/>
      <c r="Y188" s="30"/>
      <c r="Z188" s="30"/>
      <c r="AA188" s="30"/>
      <c r="AB188" s="34"/>
      <c r="AC188" s="30"/>
      <c r="AD188" s="30"/>
      <c r="AE188" s="30"/>
      <c r="AF188" s="30"/>
      <c r="AG188" s="30"/>
      <c r="AH188" s="30"/>
      <c r="AI188" s="30"/>
      <c r="AJ188" s="30"/>
      <c r="AK188" s="30"/>
      <c r="AL188" s="30"/>
      <c r="AM188" s="30"/>
      <c r="AN188" s="30"/>
      <c r="AO188" s="30"/>
    </row>
    <row r="189" spans="1:41" s="53" customFormat="1" ht="20.25" customHeight="1">
      <c r="A189" s="47"/>
      <c r="B189" s="107"/>
      <c r="C189" s="21" t="s">
        <v>12</v>
      </c>
      <c r="D189" s="51"/>
      <c r="E189" s="52"/>
      <c r="F189" s="24">
        <f>SUM(F187:F188)</f>
        <v>125</v>
      </c>
      <c r="G189" s="24">
        <f>SUM(G187:G188)</f>
        <v>0</v>
      </c>
      <c r="H189" s="24">
        <f>SUM(H187:H188)</f>
        <v>0</v>
      </c>
      <c r="I189" s="25">
        <f>SUM(F189:H189)</f>
        <v>125</v>
      </c>
      <c r="J189" s="24">
        <f aca="true" t="shared" si="57" ref="J189:O189">SUM(J187:J188)</f>
        <v>18</v>
      </c>
      <c r="K189" s="24">
        <f t="shared" si="57"/>
        <v>12</v>
      </c>
      <c r="L189" s="24">
        <f t="shared" si="57"/>
        <v>10</v>
      </c>
      <c r="M189" s="24">
        <f t="shared" si="57"/>
        <v>0</v>
      </c>
      <c r="N189" s="24">
        <f t="shared" si="57"/>
        <v>0</v>
      </c>
      <c r="O189" s="24">
        <f t="shared" si="57"/>
        <v>85</v>
      </c>
      <c r="P189" s="24">
        <f>SUM(J189:O189)</f>
        <v>125</v>
      </c>
      <c r="Q189" s="24">
        <f>SUM(Q187:Q188)</f>
        <v>0</v>
      </c>
      <c r="R189" s="24">
        <f>SUM(R187:R188)</f>
        <v>0</v>
      </c>
      <c r="S189" s="24">
        <f>SUM(S187:S188)</f>
        <v>0</v>
      </c>
      <c r="T189" s="24">
        <f>SUM(T187:T188)</f>
        <v>0</v>
      </c>
      <c r="U189" s="24">
        <f>SUM(U187:U188)</f>
        <v>289</v>
      </c>
      <c r="V189" s="26">
        <f>IF(I189-Q189=0,"",IF(D189="",(P189+S189)/(I189-Q189),IF(AND(D189&lt;&gt;"",(P189+S189)/(I189-Q189)&gt;=50%),(P189+S189)/(I189-Q189),"")))</f>
        <v>1</v>
      </c>
      <c r="W189" s="26">
        <f>IF(I189=O189,"",IF(V189="",0,(P189+Q189+S189-O189)/(I189-O189)))</f>
        <v>1</v>
      </c>
      <c r="X189" s="49"/>
      <c r="Y189" s="49"/>
      <c r="Z189" s="49"/>
      <c r="AA189" s="49"/>
      <c r="AB189" s="50"/>
      <c r="AC189" s="49"/>
      <c r="AD189" s="49"/>
      <c r="AE189" s="49"/>
      <c r="AF189" s="49"/>
      <c r="AG189" s="49"/>
      <c r="AH189" s="49"/>
      <c r="AI189" s="49"/>
      <c r="AJ189" s="49"/>
      <c r="AK189" s="49"/>
      <c r="AL189" s="49"/>
      <c r="AM189" s="49"/>
      <c r="AN189" s="49"/>
      <c r="AO189" s="49"/>
    </row>
    <row r="190" spans="1:41" s="39" customFormat="1" ht="22.5" customHeight="1">
      <c r="A190" s="32"/>
      <c r="B190" s="107" t="s">
        <v>75</v>
      </c>
      <c r="C190" s="14" t="s">
        <v>186</v>
      </c>
      <c r="D190" s="29" t="s">
        <v>211</v>
      </c>
      <c r="E190" s="16" t="s">
        <v>201</v>
      </c>
      <c r="F190" s="15"/>
      <c r="G190" s="15"/>
      <c r="H190" s="15"/>
      <c r="I190" s="17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8"/>
      <c r="W190" s="18"/>
      <c r="X190" s="30"/>
      <c r="Y190" s="30"/>
      <c r="Z190" s="30"/>
      <c r="AA190" s="30"/>
      <c r="AB190" s="34"/>
      <c r="AC190" s="30"/>
      <c r="AD190" s="30"/>
      <c r="AE190" s="30"/>
      <c r="AF190" s="30"/>
      <c r="AG190" s="30"/>
      <c r="AH190" s="30"/>
      <c r="AI190" s="30"/>
      <c r="AJ190" s="30"/>
      <c r="AK190" s="30"/>
      <c r="AL190" s="30"/>
      <c r="AM190" s="30"/>
      <c r="AN190" s="30"/>
      <c r="AO190" s="30"/>
    </row>
    <row r="191" spans="1:41" s="39" customFormat="1" ht="20.25" customHeight="1">
      <c r="A191" s="32">
        <v>1</v>
      </c>
      <c r="B191" s="107"/>
      <c r="C191" s="20" t="str">
        <f>IF(A191="","VARA",VLOOKUP(A191,'[1]varas'!$A$4:$B$67,2))</f>
        <v>1ª VT Recife</v>
      </c>
      <c r="D191" s="29"/>
      <c r="E191" s="16"/>
      <c r="F191" s="15">
        <v>0</v>
      </c>
      <c r="G191" s="15">
        <v>0</v>
      </c>
      <c r="H191" s="15">
        <v>3</v>
      </c>
      <c r="I191" s="17">
        <f aca="true" t="shared" si="58" ref="I191:I198">SUM(F191:H191)</f>
        <v>3</v>
      </c>
      <c r="J191" s="15">
        <v>0</v>
      </c>
      <c r="K191" s="15">
        <v>0</v>
      </c>
      <c r="L191" s="15">
        <v>0</v>
      </c>
      <c r="M191" s="15">
        <v>0</v>
      </c>
      <c r="N191" s="15">
        <v>0</v>
      </c>
      <c r="O191" s="15">
        <v>0</v>
      </c>
      <c r="P191" s="15">
        <f aca="true" t="shared" si="59" ref="P191:P198">SUM(J191:O191)</f>
        <v>0</v>
      </c>
      <c r="Q191" s="15">
        <v>0</v>
      </c>
      <c r="R191" s="15">
        <v>3</v>
      </c>
      <c r="S191" s="15">
        <v>0</v>
      </c>
      <c r="T191" s="15">
        <v>0</v>
      </c>
      <c r="U191" s="15">
        <v>0</v>
      </c>
      <c r="V191" s="18"/>
      <c r="W191" s="18"/>
      <c r="X191" s="30"/>
      <c r="Y191" s="30"/>
      <c r="Z191" s="30"/>
      <c r="AA191" s="30"/>
      <c r="AB191" s="34"/>
      <c r="AC191" s="30"/>
      <c r="AD191" s="30"/>
      <c r="AE191" s="30"/>
      <c r="AF191" s="30"/>
      <c r="AG191" s="30"/>
      <c r="AH191" s="30"/>
      <c r="AI191" s="30"/>
      <c r="AJ191" s="30"/>
      <c r="AK191" s="30"/>
      <c r="AL191" s="30"/>
      <c r="AM191" s="30"/>
      <c r="AN191" s="30"/>
      <c r="AO191" s="30"/>
    </row>
    <row r="192" spans="1:41" s="39" customFormat="1" ht="16.5" customHeight="1">
      <c r="A192" s="32">
        <v>18</v>
      </c>
      <c r="B192" s="107"/>
      <c r="C192" s="20" t="str">
        <f>IF(A192="","VARA",VLOOKUP(A192,'[1]varas'!$A$4:$B$67,2))</f>
        <v>18ª VT Recife</v>
      </c>
      <c r="D192" s="29"/>
      <c r="E192" s="16"/>
      <c r="F192" s="15">
        <v>0</v>
      </c>
      <c r="G192" s="15">
        <v>0</v>
      </c>
      <c r="H192" s="15">
        <v>11</v>
      </c>
      <c r="I192" s="17">
        <f>SUM(F192:H192)</f>
        <v>11</v>
      </c>
      <c r="J192" s="15">
        <v>0</v>
      </c>
      <c r="K192" s="15">
        <v>0</v>
      </c>
      <c r="L192" s="15">
        <v>0</v>
      </c>
      <c r="M192" s="15">
        <v>0</v>
      </c>
      <c r="N192" s="15">
        <v>0</v>
      </c>
      <c r="O192" s="15">
        <v>0</v>
      </c>
      <c r="P192" s="15">
        <f>SUM(J192:O192)</f>
        <v>0</v>
      </c>
      <c r="Q192" s="15">
        <v>0</v>
      </c>
      <c r="R192" s="15">
        <v>11</v>
      </c>
      <c r="S192" s="15">
        <v>0</v>
      </c>
      <c r="T192" s="15">
        <v>0</v>
      </c>
      <c r="U192" s="15">
        <v>0</v>
      </c>
      <c r="V192" s="18"/>
      <c r="W192" s="18"/>
      <c r="X192" s="30"/>
      <c r="Y192" s="30"/>
      <c r="Z192" s="30"/>
      <c r="AA192" s="30"/>
      <c r="AB192" s="34"/>
      <c r="AC192" s="30"/>
      <c r="AD192" s="30"/>
      <c r="AE192" s="30"/>
      <c r="AF192" s="30"/>
      <c r="AG192" s="30"/>
      <c r="AH192" s="30"/>
      <c r="AI192" s="30"/>
      <c r="AJ192" s="30"/>
      <c r="AK192" s="30"/>
      <c r="AL192" s="30"/>
      <c r="AM192" s="30"/>
      <c r="AN192" s="30"/>
      <c r="AO192" s="30"/>
    </row>
    <row r="193" spans="1:41" s="39" customFormat="1" ht="18.75" customHeight="1">
      <c r="A193" s="32">
        <v>50</v>
      </c>
      <c r="B193" s="107"/>
      <c r="C193" s="20" t="str">
        <f>IF(A193="","VARA",VLOOKUP(A193,'[1]varas'!$A$4:$B$67,2))</f>
        <v>VT Garanhuns</v>
      </c>
      <c r="D193" s="15"/>
      <c r="E193" s="16"/>
      <c r="F193" s="15">
        <v>0</v>
      </c>
      <c r="G193" s="15">
        <v>0</v>
      </c>
      <c r="H193" s="15">
        <v>1</v>
      </c>
      <c r="I193" s="17">
        <f t="shared" si="58"/>
        <v>1</v>
      </c>
      <c r="J193" s="15">
        <v>0</v>
      </c>
      <c r="K193" s="15">
        <v>0</v>
      </c>
      <c r="L193" s="15">
        <v>0</v>
      </c>
      <c r="M193" s="15">
        <v>0</v>
      </c>
      <c r="N193" s="15">
        <v>0</v>
      </c>
      <c r="O193" s="15">
        <v>0</v>
      </c>
      <c r="P193" s="15">
        <f t="shared" si="59"/>
        <v>0</v>
      </c>
      <c r="Q193" s="15">
        <v>0</v>
      </c>
      <c r="R193" s="15">
        <v>1</v>
      </c>
      <c r="S193" s="15">
        <v>0</v>
      </c>
      <c r="T193" s="15">
        <v>0</v>
      </c>
      <c r="U193" s="15">
        <v>0</v>
      </c>
      <c r="V193" s="18"/>
      <c r="W193" s="18"/>
      <c r="X193" s="30"/>
      <c r="Y193" s="30"/>
      <c r="Z193" s="30"/>
      <c r="AA193" s="30"/>
      <c r="AB193" s="34"/>
      <c r="AC193" s="30"/>
      <c r="AD193" s="30"/>
      <c r="AE193" s="30"/>
      <c r="AF193" s="30"/>
      <c r="AG193" s="30"/>
      <c r="AH193" s="30"/>
      <c r="AI193" s="30"/>
      <c r="AJ193" s="30"/>
      <c r="AK193" s="30"/>
      <c r="AL193" s="30"/>
      <c r="AM193" s="30"/>
      <c r="AN193" s="30"/>
      <c r="AO193" s="30"/>
    </row>
    <row r="194" spans="1:41" s="39" customFormat="1" ht="17.25" customHeight="1">
      <c r="A194" s="32">
        <v>64</v>
      </c>
      <c r="B194" s="107"/>
      <c r="C194" s="20" t="str">
        <f>IF(A194="","VARA",VLOOKUP(A194,'[1]varas'!$A$4:$B$67,2))</f>
        <v>PAJT Surubim</v>
      </c>
      <c r="D194" s="15"/>
      <c r="E194" s="16"/>
      <c r="F194" s="15">
        <v>0</v>
      </c>
      <c r="G194" s="15">
        <v>0</v>
      </c>
      <c r="H194" s="15">
        <v>12</v>
      </c>
      <c r="I194" s="17">
        <f>SUM(F194:H194)</f>
        <v>12</v>
      </c>
      <c r="J194" s="15">
        <v>1</v>
      </c>
      <c r="K194" s="15">
        <v>0</v>
      </c>
      <c r="L194" s="15">
        <v>0</v>
      </c>
      <c r="M194" s="15">
        <v>0</v>
      </c>
      <c r="N194" s="15">
        <v>0</v>
      </c>
      <c r="O194" s="15">
        <v>0</v>
      </c>
      <c r="P194" s="15">
        <f>SUM(J194:O194)</f>
        <v>1</v>
      </c>
      <c r="Q194" s="15">
        <v>0</v>
      </c>
      <c r="R194" s="15">
        <v>11</v>
      </c>
      <c r="S194" s="15">
        <v>0</v>
      </c>
      <c r="T194" s="15">
        <v>0</v>
      </c>
      <c r="U194" s="15">
        <v>0</v>
      </c>
      <c r="V194" s="18"/>
      <c r="W194" s="18"/>
      <c r="X194" s="30"/>
      <c r="Y194" s="30"/>
      <c r="Z194" s="30"/>
      <c r="AA194" s="30"/>
      <c r="AB194" s="34"/>
      <c r="AC194" s="30"/>
      <c r="AD194" s="30"/>
      <c r="AE194" s="30"/>
      <c r="AF194" s="30"/>
      <c r="AG194" s="30"/>
      <c r="AH194" s="30"/>
      <c r="AI194" s="30"/>
      <c r="AJ194" s="30"/>
      <c r="AK194" s="30"/>
      <c r="AL194" s="30"/>
      <c r="AM194" s="30"/>
      <c r="AN194" s="30"/>
      <c r="AO194" s="30"/>
    </row>
    <row r="195" spans="1:41" s="39" customFormat="1" ht="18.75" customHeight="1">
      <c r="A195" s="32">
        <v>52</v>
      </c>
      <c r="B195" s="107"/>
      <c r="C195" s="20" t="str">
        <f>IF(A195="","VARA",VLOOKUP(A195,'[1]varas'!$A$4:$B$67,2))</f>
        <v>VT Limoeiro</v>
      </c>
      <c r="D195" s="15"/>
      <c r="E195" s="16"/>
      <c r="F195" s="15">
        <v>0</v>
      </c>
      <c r="G195" s="15">
        <v>0</v>
      </c>
      <c r="H195" s="15">
        <v>3</v>
      </c>
      <c r="I195" s="17">
        <f>SUM(F195:H195)</f>
        <v>3</v>
      </c>
      <c r="J195" s="15">
        <v>0</v>
      </c>
      <c r="K195" s="15">
        <v>0</v>
      </c>
      <c r="L195" s="15">
        <v>0</v>
      </c>
      <c r="M195" s="15">
        <v>0</v>
      </c>
      <c r="N195" s="15">
        <v>0</v>
      </c>
      <c r="O195" s="15">
        <v>0</v>
      </c>
      <c r="P195" s="15">
        <f>SUM(J195:O195)</f>
        <v>0</v>
      </c>
      <c r="Q195" s="15">
        <v>0</v>
      </c>
      <c r="R195" s="15">
        <v>3</v>
      </c>
      <c r="S195" s="15">
        <v>0</v>
      </c>
      <c r="T195" s="15">
        <v>0</v>
      </c>
      <c r="U195" s="15">
        <v>0</v>
      </c>
      <c r="V195" s="18"/>
      <c r="W195" s="18"/>
      <c r="X195" s="30"/>
      <c r="Y195" s="30"/>
      <c r="Z195" s="30"/>
      <c r="AA195" s="30"/>
      <c r="AB195" s="34"/>
      <c r="AC195" s="30"/>
      <c r="AD195" s="30"/>
      <c r="AE195" s="30"/>
      <c r="AF195" s="30"/>
      <c r="AG195" s="30"/>
      <c r="AH195" s="30"/>
      <c r="AI195" s="30"/>
      <c r="AJ195" s="30"/>
      <c r="AK195" s="30"/>
      <c r="AL195" s="30"/>
      <c r="AM195" s="30"/>
      <c r="AN195" s="30"/>
      <c r="AO195" s="30"/>
    </row>
    <row r="196" spans="1:41" s="39" customFormat="1" ht="18.75" customHeight="1">
      <c r="A196" s="32">
        <v>61</v>
      </c>
      <c r="B196" s="107"/>
      <c r="C196" s="20" t="str">
        <f>IF(A196="","VARA",VLOOKUP(A196,'[1]varas'!$A$4:$B$67,2))</f>
        <v>VT Vitória</v>
      </c>
      <c r="D196" s="15"/>
      <c r="E196" s="16"/>
      <c r="F196" s="15">
        <v>0</v>
      </c>
      <c r="G196" s="15">
        <v>0</v>
      </c>
      <c r="H196" s="15">
        <v>18</v>
      </c>
      <c r="I196" s="17">
        <f t="shared" si="58"/>
        <v>18</v>
      </c>
      <c r="J196" s="15">
        <v>7</v>
      </c>
      <c r="K196" s="15">
        <v>0</v>
      </c>
      <c r="L196" s="15">
        <v>0</v>
      </c>
      <c r="M196" s="15">
        <v>0</v>
      </c>
      <c r="N196" s="15">
        <v>0</v>
      </c>
      <c r="O196" s="15">
        <v>0</v>
      </c>
      <c r="P196" s="15">
        <f t="shared" si="59"/>
        <v>7</v>
      </c>
      <c r="Q196" s="15">
        <v>0</v>
      </c>
      <c r="R196" s="15">
        <v>11</v>
      </c>
      <c r="S196" s="15">
        <v>0</v>
      </c>
      <c r="T196" s="15">
        <v>0</v>
      </c>
      <c r="U196" s="15">
        <v>0</v>
      </c>
      <c r="V196" s="18"/>
      <c r="W196" s="18"/>
      <c r="X196" s="30"/>
      <c r="Y196" s="30"/>
      <c r="Z196" s="30"/>
      <c r="AA196" s="30"/>
      <c r="AB196" s="34"/>
      <c r="AC196" s="30"/>
      <c r="AD196" s="30"/>
      <c r="AE196" s="30"/>
      <c r="AF196" s="30"/>
      <c r="AG196" s="30"/>
      <c r="AH196" s="30"/>
      <c r="AI196" s="30"/>
      <c r="AJ196" s="30"/>
      <c r="AK196" s="30"/>
      <c r="AL196" s="30"/>
      <c r="AM196" s="30"/>
      <c r="AN196" s="30"/>
      <c r="AO196" s="30"/>
    </row>
    <row r="197" spans="1:41" s="39" customFormat="1" ht="18.75" customHeight="1">
      <c r="A197" s="32">
        <v>46</v>
      </c>
      <c r="B197" s="107"/>
      <c r="C197" s="20" t="str">
        <f>IF(A197="","VARA",VLOOKUP(A197,'[1]varas'!$A$4:$B$67,2))</f>
        <v>VT Belo Jardim</v>
      </c>
      <c r="D197" s="15"/>
      <c r="E197" s="16"/>
      <c r="F197" s="15">
        <v>0</v>
      </c>
      <c r="G197" s="15">
        <v>0</v>
      </c>
      <c r="H197" s="15">
        <v>27</v>
      </c>
      <c r="I197" s="17">
        <f t="shared" si="58"/>
        <v>27</v>
      </c>
      <c r="J197" s="15">
        <v>17</v>
      </c>
      <c r="K197" s="15">
        <v>0</v>
      </c>
      <c r="L197" s="15">
        <v>0</v>
      </c>
      <c r="M197" s="15">
        <v>1</v>
      </c>
      <c r="N197" s="15">
        <v>0</v>
      </c>
      <c r="O197" s="15">
        <v>0</v>
      </c>
      <c r="P197" s="15">
        <f t="shared" si="59"/>
        <v>18</v>
      </c>
      <c r="Q197" s="15">
        <v>0</v>
      </c>
      <c r="R197" s="15">
        <v>9</v>
      </c>
      <c r="S197" s="15">
        <v>0</v>
      </c>
      <c r="T197" s="15">
        <v>0</v>
      </c>
      <c r="U197" s="15">
        <v>0</v>
      </c>
      <c r="V197" s="18"/>
      <c r="W197" s="18"/>
      <c r="X197" s="30"/>
      <c r="Y197" s="30"/>
      <c r="Z197" s="30"/>
      <c r="AA197" s="30"/>
      <c r="AB197" s="34"/>
      <c r="AC197" s="30"/>
      <c r="AD197" s="30"/>
      <c r="AE197" s="30"/>
      <c r="AF197" s="30"/>
      <c r="AG197" s="30"/>
      <c r="AH197" s="30"/>
      <c r="AI197" s="30"/>
      <c r="AJ197" s="30"/>
      <c r="AK197" s="30"/>
      <c r="AL197" s="30"/>
      <c r="AM197" s="30"/>
      <c r="AN197" s="30"/>
      <c r="AO197" s="30"/>
    </row>
    <row r="198" spans="1:41" s="53" customFormat="1" ht="19.5" customHeight="1">
      <c r="A198" s="47"/>
      <c r="B198" s="107"/>
      <c r="C198" s="20" t="s">
        <v>12</v>
      </c>
      <c r="D198" s="24"/>
      <c r="E198" s="48"/>
      <c r="F198" s="24">
        <f>SUM(F190:F197)</f>
        <v>0</v>
      </c>
      <c r="G198" s="24">
        <f>SUM(G190:G197)</f>
        <v>0</v>
      </c>
      <c r="H198" s="24">
        <f>SUM(H190:H197)</f>
        <v>75</v>
      </c>
      <c r="I198" s="40">
        <f t="shared" si="58"/>
        <v>75</v>
      </c>
      <c r="J198" s="24">
        <f aca="true" t="shared" si="60" ref="J198:O198">SUM(J190:J197)</f>
        <v>25</v>
      </c>
      <c r="K198" s="24">
        <f t="shared" si="60"/>
        <v>0</v>
      </c>
      <c r="L198" s="24">
        <f t="shared" si="60"/>
        <v>0</v>
      </c>
      <c r="M198" s="24">
        <f t="shared" si="60"/>
        <v>1</v>
      </c>
      <c r="N198" s="24">
        <f t="shared" si="60"/>
        <v>0</v>
      </c>
      <c r="O198" s="24">
        <f t="shared" si="60"/>
        <v>0</v>
      </c>
      <c r="P198" s="24">
        <f t="shared" si="59"/>
        <v>26</v>
      </c>
      <c r="Q198" s="24">
        <f>SUM(Q190:Q197)</f>
        <v>0</v>
      </c>
      <c r="R198" s="24">
        <f>SUM(R190:R197)</f>
        <v>49</v>
      </c>
      <c r="S198" s="24">
        <f>SUM(S190:S197)</f>
        <v>0</v>
      </c>
      <c r="T198" s="24">
        <f>SUM(T190:T197)</f>
        <v>0</v>
      </c>
      <c r="U198" s="24">
        <f>SUM(U190:U197)</f>
        <v>0</v>
      </c>
      <c r="V198" s="26">
        <f>IF(I198-Q198=0,"",IF(D198="",(P198+S198)/(I198-Q198),IF(AND(D198&lt;&gt;"",(P198+S198)/(I198-Q198)&gt;=50%),(P198+S198)/(I198-Q198),"")))</f>
        <v>0.3466666666666667</v>
      </c>
      <c r="W198" s="26">
        <f>IF(I198=O198,"",IF(V198="",0,(P198+Q198+S198-O198)/(I198-O198)))</f>
        <v>0.3466666666666667</v>
      </c>
      <c r="X198" s="49"/>
      <c r="Y198" s="49"/>
      <c r="Z198" s="49"/>
      <c r="AA198" s="49"/>
      <c r="AB198" s="50"/>
      <c r="AC198" s="49"/>
      <c r="AD198" s="49"/>
      <c r="AE198" s="49"/>
      <c r="AF198" s="49"/>
      <c r="AG198" s="49"/>
      <c r="AH198" s="49"/>
      <c r="AI198" s="49"/>
      <c r="AJ198" s="49"/>
      <c r="AK198" s="49"/>
      <c r="AL198" s="49"/>
      <c r="AM198" s="49"/>
      <c r="AN198" s="49"/>
      <c r="AO198" s="49"/>
    </row>
    <row r="199" spans="1:41" s="39" customFormat="1" ht="23.25" customHeight="1">
      <c r="A199" s="32"/>
      <c r="B199" s="107" t="s">
        <v>76</v>
      </c>
      <c r="C199" s="14" t="s">
        <v>2</v>
      </c>
      <c r="D199" s="29" t="s">
        <v>212</v>
      </c>
      <c r="E199" s="16" t="s">
        <v>213</v>
      </c>
      <c r="F199" s="15"/>
      <c r="G199" s="15"/>
      <c r="H199" s="15"/>
      <c r="I199" s="17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8"/>
      <c r="W199" s="18"/>
      <c r="X199" s="30"/>
      <c r="Y199" s="30"/>
      <c r="Z199" s="30"/>
      <c r="AA199" s="30"/>
      <c r="AB199" s="34"/>
      <c r="AC199" s="30"/>
      <c r="AD199" s="30"/>
      <c r="AE199" s="30"/>
      <c r="AF199" s="30"/>
      <c r="AG199" s="30"/>
      <c r="AH199" s="30"/>
      <c r="AI199" s="30"/>
      <c r="AJ199" s="30"/>
      <c r="AK199" s="30"/>
      <c r="AL199" s="30"/>
      <c r="AM199" s="30"/>
      <c r="AN199" s="30"/>
      <c r="AO199" s="30"/>
    </row>
    <row r="200" spans="1:41" s="39" customFormat="1" ht="17.25" customHeight="1">
      <c r="A200" s="32">
        <v>38</v>
      </c>
      <c r="B200" s="107"/>
      <c r="C200" s="20" t="str">
        <f>IF(A200="","VARA",VLOOKUP(A200,'[1]varas'!$A$4:$B$67,2))</f>
        <v>1ª VT Olinda</v>
      </c>
      <c r="D200" s="15"/>
      <c r="E200" s="16"/>
      <c r="F200" s="15">
        <f>16+26+10</f>
        <v>52</v>
      </c>
      <c r="G200" s="15">
        <v>0</v>
      </c>
      <c r="H200" s="15">
        <v>0</v>
      </c>
      <c r="I200" s="17">
        <f>SUM(F200:H200)</f>
        <v>52</v>
      </c>
      <c r="J200" s="15">
        <v>9</v>
      </c>
      <c r="K200" s="15">
        <v>7</v>
      </c>
      <c r="L200" s="15">
        <v>10</v>
      </c>
      <c r="M200" s="15">
        <v>0</v>
      </c>
      <c r="N200" s="15">
        <v>0</v>
      </c>
      <c r="O200" s="15">
        <v>26</v>
      </c>
      <c r="P200" s="15">
        <f>SUM(J200:O200)</f>
        <v>52</v>
      </c>
      <c r="Q200" s="15">
        <v>0</v>
      </c>
      <c r="R200" s="15">
        <v>0</v>
      </c>
      <c r="S200" s="15">
        <v>0</v>
      </c>
      <c r="T200" s="15">
        <v>0</v>
      </c>
      <c r="U200" s="15">
        <v>92</v>
      </c>
      <c r="V200" s="18"/>
      <c r="W200" s="18"/>
      <c r="X200" s="30"/>
      <c r="Y200" s="30"/>
      <c r="Z200" s="30"/>
      <c r="AA200" s="30"/>
      <c r="AB200" s="34"/>
      <c r="AC200" s="30"/>
      <c r="AD200" s="30"/>
      <c r="AE200" s="30"/>
      <c r="AF200" s="30"/>
      <c r="AG200" s="30"/>
      <c r="AH200" s="30"/>
      <c r="AI200" s="30"/>
      <c r="AJ200" s="30"/>
      <c r="AK200" s="30"/>
      <c r="AL200" s="30"/>
      <c r="AM200" s="30"/>
      <c r="AN200" s="30"/>
      <c r="AO200" s="30"/>
    </row>
    <row r="201" spans="1:41" s="39" customFormat="1" ht="20.25" customHeight="1">
      <c r="A201" s="32">
        <v>39</v>
      </c>
      <c r="B201" s="107"/>
      <c r="C201" s="20" t="str">
        <f>IF(A201="","VARA",VLOOKUP(A201,'[1]varas'!$A$4:$B$67,2))</f>
        <v>2ª VT Olinda</v>
      </c>
      <c r="D201" s="15"/>
      <c r="E201" s="16"/>
      <c r="F201" s="15">
        <v>2</v>
      </c>
      <c r="G201" s="15">
        <v>0</v>
      </c>
      <c r="H201" s="15">
        <v>0</v>
      </c>
      <c r="I201" s="17">
        <f>SUM(F201:H201)</f>
        <v>2</v>
      </c>
      <c r="J201" s="15">
        <v>2</v>
      </c>
      <c r="K201" s="15">
        <v>0</v>
      </c>
      <c r="L201" s="15">
        <v>0</v>
      </c>
      <c r="M201" s="15">
        <v>0</v>
      </c>
      <c r="N201" s="15">
        <v>0</v>
      </c>
      <c r="O201" s="15">
        <v>0</v>
      </c>
      <c r="P201" s="15">
        <f>SUM(J201:O201)</f>
        <v>2</v>
      </c>
      <c r="Q201" s="15">
        <v>0</v>
      </c>
      <c r="R201" s="15">
        <v>0</v>
      </c>
      <c r="S201" s="15">
        <v>0</v>
      </c>
      <c r="T201" s="15">
        <v>0</v>
      </c>
      <c r="U201" s="15">
        <v>2</v>
      </c>
      <c r="V201" s="18"/>
      <c r="W201" s="18"/>
      <c r="X201" s="30"/>
      <c r="Y201" s="30"/>
      <c r="Z201" s="30"/>
      <c r="AA201" s="30"/>
      <c r="AB201" s="34"/>
      <c r="AC201" s="30"/>
      <c r="AD201" s="30"/>
      <c r="AE201" s="30"/>
      <c r="AF201" s="30"/>
      <c r="AG201" s="30"/>
      <c r="AH201" s="30"/>
      <c r="AI201" s="30"/>
      <c r="AJ201" s="30"/>
      <c r="AK201" s="30"/>
      <c r="AL201" s="30"/>
      <c r="AM201" s="30"/>
      <c r="AN201" s="30"/>
      <c r="AO201" s="30"/>
    </row>
    <row r="202" spans="1:41" s="39" customFormat="1" ht="18.75" customHeight="1">
      <c r="A202" s="32">
        <v>40</v>
      </c>
      <c r="B202" s="107"/>
      <c r="C202" s="20" t="str">
        <f>IF(A202="","VARA",VLOOKUP(A202,'[1]varas'!$A$4:$B$67,2))</f>
        <v>3ª VT Olinda</v>
      </c>
      <c r="D202" s="15"/>
      <c r="E202" s="16"/>
      <c r="F202" s="15">
        <f>9+12</f>
        <v>21</v>
      </c>
      <c r="G202" s="15">
        <v>0</v>
      </c>
      <c r="H202" s="15">
        <v>1</v>
      </c>
      <c r="I202" s="17">
        <f>SUM(F202:H202)</f>
        <v>22</v>
      </c>
      <c r="J202" s="15">
        <v>6</v>
      </c>
      <c r="K202" s="15">
        <v>3</v>
      </c>
      <c r="L202" s="15">
        <v>0</v>
      </c>
      <c r="M202" s="15">
        <v>0</v>
      </c>
      <c r="N202" s="15">
        <v>0</v>
      </c>
      <c r="O202" s="15">
        <v>12</v>
      </c>
      <c r="P202" s="15">
        <f>SUM(J202:O202)</f>
        <v>21</v>
      </c>
      <c r="Q202" s="15">
        <v>0</v>
      </c>
      <c r="R202" s="15">
        <v>1</v>
      </c>
      <c r="S202" s="15">
        <v>0</v>
      </c>
      <c r="T202" s="15">
        <v>0</v>
      </c>
      <c r="U202" s="15">
        <v>59</v>
      </c>
      <c r="V202" s="18"/>
      <c r="W202" s="18"/>
      <c r="X202" s="30"/>
      <c r="Y202" s="30"/>
      <c r="Z202" s="30"/>
      <c r="AA202" s="30"/>
      <c r="AB202" s="34"/>
      <c r="AC202" s="30"/>
      <c r="AD202" s="30"/>
      <c r="AE202" s="30"/>
      <c r="AF202" s="30"/>
      <c r="AG202" s="30"/>
      <c r="AH202" s="30"/>
      <c r="AI202" s="30"/>
      <c r="AJ202" s="30"/>
      <c r="AK202" s="30"/>
      <c r="AL202" s="30"/>
      <c r="AM202" s="30"/>
      <c r="AN202" s="30"/>
      <c r="AO202" s="30"/>
    </row>
    <row r="203" spans="1:41" s="53" customFormat="1" ht="20.25" customHeight="1">
      <c r="A203" s="47"/>
      <c r="B203" s="107"/>
      <c r="C203" s="20" t="s">
        <v>12</v>
      </c>
      <c r="D203" s="24"/>
      <c r="E203" s="48"/>
      <c r="F203" s="24">
        <f>SUM(F199:F202)</f>
        <v>75</v>
      </c>
      <c r="G203" s="24">
        <f>SUM(G199:G202)</f>
        <v>0</v>
      </c>
      <c r="H203" s="24">
        <f>SUM(H199:H202)</f>
        <v>1</v>
      </c>
      <c r="I203" s="40">
        <f>SUM(F203:H203)</f>
        <v>76</v>
      </c>
      <c r="J203" s="24">
        <f aca="true" t="shared" si="61" ref="J203:O203">SUM(J199:J202)</f>
        <v>17</v>
      </c>
      <c r="K203" s="24">
        <f t="shared" si="61"/>
        <v>10</v>
      </c>
      <c r="L203" s="24">
        <f t="shared" si="61"/>
        <v>10</v>
      </c>
      <c r="M203" s="24">
        <f t="shared" si="61"/>
        <v>0</v>
      </c>
      <c r="N203" s="24">
        <f t="shared" si="61"/>
        <v>0</v>
      </c>
      <c r="O203" s="24">
        <f t="shared" si="61"/>
        <v>38</v>
      </c>
      <c r="P203" s="24">
        <f>SUM(J203:O203)</f>
        <v>75</v>
      </c>
      <c r="Q203" s="24">
        <f>SUM(Q199:Q202)</f>
        <v>0</v>
      </c>
      <c r="R203" s="24">
        <f>SUM(R199:R202)</f>
        <v>1</v>
      </c>
      <c r="S203" s="24">
        <f>SUM(S199:S202)</f>
        <v>0</v>
      </c>
      <c r="T203" s="24">
        <f>SUM(T199:T202)</f>
        <v>0</v>
      </c>
      <c r="U203" s="24">
        <f>SUM(U199:U202)</f>
        <v>153</v>
      </c>
      <c r="V203" s="26">
        <f>IF(I203-Q203=0,"",IF(D203="",(P203+S203)/(I203-Q203),IF(AND(D203&lt;&gt;"",(P203+S203)/(I203-Q203)&gt;=50%),(P203+S203)/(I203-Q203),"")))</f>
        <v>0.9868421052631579</v>
      </c>
      <c r="W203" s="26">
        <f>IF(I203=O203,"",IF(V203="",0,(P203+Q203+S203-O203)/(I203-O203)))</f>
        <v>0.9736842105263158</v>
      </c>
      <c r="X203" s="49"/>
      <c r="Y203" s="49"/>
      <c r="Z203" s="49"/>
      <c r="AA203" s="49"/>
      <c r="AB203" s="50"/>
      <c r="AC203" s="49"/>
      <c r="AD203" s="49"/>
      <c r="AE203" s="49"/>
      <c r="AF203" s="49"/>
      <c r="AG203" s="49"/>
      <c r="AH203" s="49"/>
      <c r="AI203" s="49"/>
      <c r="AJ203" s="49"/>
      <c r="AK203" s="49"/>
      <c r="AL203" s="49"/>
      <c r="AM203" s="49"/>
      <c r="AN203" s="49"/>
      <c r="AO203" s="49"/>
    </row>
    <row r="204" spans="1:41" s="39" customFormat="1" ht="21" customHeight="1">
      <c r="A204" s="32"/>
      <c r="B204" s="107" t="s">
        <v>77</v>
      </c>
      <c r="C204" s="14" t="s">
        <v>2</v>
      </c>
      <c r="D204" s="15" t="s">
        <v>30</v>
      </c>
      <c r="E204" s="16" t="s">
        <v>206</v>
      </c>
      <c r="F204" s="15"/>
      <c r="G204" s="15"/>
      <c r="H204" s="15"/>
      <c r="I204" s="17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8"/>
      <c r="W204" s="18"/>
      <c r="X204" s="30"/>
      <c r="Y204" s="30"/>
      <c r="Z204" s="30"/>
      <c r="AA204" s="30"/>
      <c r="AB204" s="34"/>
      <c r="AC204" s="30"/>
      <c r="AD204" s="30"/>
      <c r="AE204" s="30"/>
      <c r="AF204" s="30"/>
      <c r="AG204" s="30"/>
      <c r="AH204" s="30"/>
      <c r="AI204" s="30"/>
      <c r="AJ204" s="30"/>
      <c r="AK204" s="30"/>
      <c r="AL204" s="30"/>
      <c r="AM204" s="30"/>
      <c r="AN204" s="30"/>
      <c r="AO204" s="30"/>
    </row>
    <row r="205" spans="1:41" s="39" customFormat="1" ht="21" customHeight="1">
      <c r="A205" s="32">
        <v>11</v>
      </c>
      <c r="B205" s="107"/>
      <c r="C205" s="20" t="str">
        <f>IF(A205="","VARA",VLOOKUP(A205,'[1]varas'!$A$4:$B$67,2))</f>
        <v>11ª VT Recife</v>
      </c>
      <c r="D205" s="15"/>
      <c r="E205" s="16"/>
      <c r="F205" s="15">
        <v>3</v>
      </c>
      <c r="G205" s="15">
        <v>0</v>
      </c>
      <c r="H205" s="15">
        <v>0</v>
      </c>
      <c r="I205" s="17">
        <f>SUM(F205:H205)</f>
        <v>3</v>
      </c>
      <c r="J205" s="15">
        <v>0</v>
      </c>
      <c r="K205" s="15">
        <v>0</v>
      </c>
      <c r="L205" s="15">
        <v>0</v>
      </c>
      <c r="M205" s="15">
        <v>0</v>
      </c>
      <c r="N205" s="15">
        <v>0</v>
      </c>
      <c r="O205" s="15">
        <v>1</v>
      </c>
      <c r="P205" s="15">
        <f>SUM(J205:O205)</f>
        <v>1</v>
      </c>
      <c r="Q205" s="15">
        <v>2</v>
      </c>
      <c r="R205" s="15">
        <v>0</v>
      </c>
      <c r="S205" s="15">
        <v>0</v>
      </c>
      <c r="T205" s="15">
        <v>0</v>
      </c>
      <c r="U205" s="15">
        <v>2</v>
      </c>
      <c r="V205" s="18"/>
      <c r="W205" s="18"/>
      <c r="X205" s="30"/>
      <c r="Y205" s="30"/>
      <c r="Z205" s="30"/>
      <c r="AA205" s="30"/>
      <c r="AB205" s="34"/>
      <c r="AC205" s="30"/>
      <c r="AD205" s="30"/>
      <c r="AE205" s="30"/>
      <c r="AF205" s="30"/>
      <c r="AG205" s="30"/>
      <c r="AH205" s="30"/>
      <c r="AI205" s="30"/>
      <c r="AJ205" s="30"/>
      <c r="AK205" s="30"/>
      <c r="AL205" s="30"/>
      <c r="AM205" s="30"/>
      <c r="AN205" s="30"/>
      <c r="AO205" s="30"/>
    </row>
    <row r="206" spans="1:41" s="39" customFormat="1" ht="18.75" customHeight="1">
      <c r="A206" s="32">
        <v>12</v>
      </c>
      <c r="B206" s="107"/>
      <c r="C206" s="20" t="str">
        <f>IF(A206="","VARA",VLOOKUP(A206,'[1]varas'!$A$4:$B$67,2))</f>
        <v>12ª VT Recife</v>
      </c>
      <c r="D206" s="15"/>
      <c r="E206" s="16"/>
      <c r="F206" s="15">
        <f>28+12+3</f>
        <v>43</v>
      </c>
      <c r="G206" s="15">
        <v>20</v>
      </c>
      <c r="H206" s="15">
        <v>18</v>
      </c>
      <c r="I206" s="17">
        <f>SUM(F206:H206)</f>
        <v>81</v>
      </c>
      <c r="J206" s="15">
        <v>31</v>
      </c>
      <c r="K206" s="15">
        <v>8</v>
      </c>
      <c r="L206" s="15">
        <v>2</v>
      </c>
      <c r="M206" s="15">
        <v>0</v>
      </c>
      <c r="N206" s="15">
        <v>1</v>
      </c>
      <c r="O206" s="15">
        <v>12</v>
      </c>
      <c r="P206" s="15">
        <f>SUM(J206:O206)</f>
        <v>54</v>
      </c>
      <c r="Q206" s="15">
        <v>9</v>
      </c>
      <c r="R206" s="15">
        <v>18</v>
      </c>
      <c r="S206" s="15">
        <v>0</v>
      </c>
      <c r="T206" s="15">
        <v>0</v>
      </c>
      <c r="U206" s="15">
        <v>73</v>
      </c>
      <c r="V206" s="18"/>
      <c r="W206" s="18"/>
      <c r="X206" s="30"/>
      <c r="Y206" s="30"/>
      <c r="Z206" s="30"/>
      <c r="AA206" s="30"/>
      <c r="AB206" s="34"/>
      <c r="AC206" s="30"/>
      <c r="AD206" s="30"/>
      <c r="AE206" s="30"/>
      <c r="AF206" s="30"/>
      <c r="AG206" s="30"/>
      <c r="AH206" s="30"/>
      <c r="AI206" s="30"/>
      <c r="AJ206" s="30"/>
      <c r="AK206" s="30"/>
      <c r="AL206" s="30"/>
      <c r="AM206" s="30"/>
      <c r="AN206" s="30"/>
      <c r="AO206" s="30"/>
    </row>
    <row r="207" spans="1:41" s="39" customFormat="1" ht="20.25" customHeight="1">
      <c r="A207" s="32"/>
      <c r="B207" s="107"/>
      <c r="C207" s="21" t="s">
        <v>12</v>
      </c>
      <c r="D207" s="33"/>
      <c r="E207" s="23"/>
      <c r="F207" s="24">
        <f>SUM(F204:F206)</f>
        <v>46</v>
      </c>
      <c r="G207" s="24">
        <f>SUM(G204:G206)</f>
        <v>20</v>
      </c>
      <c r="H207" s="24">
        <f>SUM(H204:H206)</f>
        <v>18</v>
      </c>
      <c r="I207" s="40">
        <f>SUM(F207:H207)</f>
        <v>84</v>
      </c>
      <c r="J207" s="24">
        <f aca="true" t="shared" si="62" ref="J207:O207">SUM(J204:J206)</f>
        <v>31</v>
      </c>
      <c r="K207" s="24">
        <f t="shared" si="62"/>
        <v>8</v>
      </c>
      <c r="L207" s="24">
        <f t="shared" si="62"/>
        <v>2</v>
      </c>
      <c r="M207" s="24">
        <f t="shared" si="62"/>
        <v>0</v>
      </c>
      <c r="N207" s="24">
        <f t="shared" si="62"/>
        <v>1</v>
      </c>
      <c r="O207" s="24">
        <f t="shared" si="62"/>
        <v>13</v>
      </c>
      <c r="P207" s="24">
        <f>SUM(J207:O207)</f>
        <v>55</v>
      </c>
      <c r="Q207" s="24">
        <f>SUM(Q204:Q206)</f>
        <v>11</v>
      </c>
      <c r="R207" s="24">
        <f>SUM(R204:R206)</f>
        <v>18</v>
      </c>
      <c r="S207" s="24">
        <f>SUM(S204:S206)</f>
        <v>0</v>
      </c>
      <c r="T207" s="24">
        <f>SUM(T204:T206)</f>
        <v>0</v>
      </c>
      <c r="U207" s="24">
        <f>SUM(U204:U206)</f>
        <v>75</v>
      </c>
      <c r="V207" s="26">
        <f>IF(I207-Q207=0,"",IF(D207="",(P207+S207)/(I207-Q207),IF(AND(D207&lt;&gt;"",(P207+S207)/(I207-Q207)&gt;=50%),(P207+S207)/(I207-Q207),"")))</f>
        <v>0.7534246575342466</v>
      </c>
      <c r="W207" s="26">
        <f>IF(I207=O207,"",IF(V207="",0,(P207+Q207+S207-O207)/(I207-O207)))</f>
        <v>0.7464788732394366</v>
      </c>
      <c r="X207" s="30"/>
      <c r="Y207" s="30"/>
      <c r="Z207" s="30"/>
      <c r="AA207" s="30"/>
      <c r="AB207" s="34"/>
      <c r="AC207" s="30"/>
      <c r="AD207" s="30"/>
      <c r="AE207" s="30"/>
      <c r="AF207" s="30"/>
      <c r="AG207" s="30"/>
      <c r="AH207" s="30"/>
      <c r="AI207" s="30"/>
      <c r="AJ207" s="30"/>
      <c r="AK207" s="30"/>
      <c r="AL207" s="30"/>
      <c r="AM207" s="30"/>
      <c r="AN207" s="30"/>
      <c r="AO207" s="30"/>
    </row>
    <row r="208" spans="1:41" s="39" customFormat="1" ht="21" customHeight="1">
      <c r="A208" s="32"/>
      <c r="B208" s="107" t="s">
        <v>78</v>
      </c>
      <c r="C208" s="14" t="s">
        <v>186</v>
      </c>
      <c r="D208" s="29" t="s">
        <v>30</v>
      </c>
      <c r="E208" s="16" t="s">
        <v>202</v>
      </c>
      <c r="F208" s="15"/>
      <c r="G208" s="15"/>
      <c r="H208" s="15"/>
      <c r="I208" s="17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8"/>
      <c r="W208" s="18"/>
      <c r="X208" s="30"/>
      <c r="Y208" s="30"/>
      <c r="Z208" s="30"/>
      <c r="AA208" s="30"/>
      <c r="AB208" s="34"/>
      <c r="AC208" s="30"/>
      <c r="AD208" s="30"/>
      <c r="AE208" s="30"/>
      <c r="AF208" s="30"/>
      <c r="AG208" s="30"/>
      <c r="AH208" s="30"/>
      <c r="AI208" s="30"/>
      <c r="AJ208" s="30"/>
      <c r="AK208" s="30"/>
      <c r="AL208" s="30"/>
      <c r="AM208" s="30"/>
      <c r="AN208" s="30"/>
      <c r="AO208" s="30"/>
    </row>
    <row r="209" spans="1:41" s="39" customFormat="1" ht="18.75" customHeight="1">
      <c r="A209" s="32">
        <v>27</v>
      </c>
      <c r="B209" s="107"/>
      <c r="C209" s="20" t="str">
        <f>IF(A209="","VARA",VLOOKUP(A209,'[1]varas'!$A$4:$B$67,2))</f>
        <v>2ª VT Cabo</v>
      </c>
      <c r="D209" s="15"/>
      <c r="E209" s="16"/>
      <c r="F209" s="15">
        <v>0</v>
      </c>
      <c r="G209" s="15">
        <v>0</v>
      </c>
      <c r="H209" s="15">
        <v>3</v>
      </c>
      <c r="I209" s="17">
        <f>SUM(F209:H209)</f>
        <v>3</v>
      </c>
      <c r="J209" s="15">
        <v>0</v>
      </c>
      <c r="K209" s="15">
        <v>0</v>
      </c>
      <c r="L209" s="15">
        <v>0</v>
      </c>
      <c r="M209" s="15">
        <v>0</v>
      </c>
      <c r="N209" s="15">
        <v>0</v>
      </c>
      <c r="O209" s="15">
        <v>0</v>
      </c>
      <c r="P209" s="15">
        <f>SUM(J209:O209)</f>
        <v>0</v>
      </c>
      <c r="Q209" s="15">
        <v>0</v>
      </c>
      <c r="R209" s="15">
        <v>3</v>
      </c>
      <c r="S209" s="15">
        <v>0</v>
      </c>
      <c r="T209" s="15">
        <v>0</v>
      </c>
      <c r="U209" s="15">
        <v>0</v>
      </c>
      <c r="V209" s="18"/>
      <c r="W209" s="18"/>
      <c r="X209" s="30"/>
      <c r="Y209" s="30"/>
      <c r="Z209" s="30"/>
      <c r="AA209" s="30"/>
      <c r="AB209" s="34"/>
      <c r="AC209" s="30"/>
      <c r="AD209" s="30"/>
      <c r="AE209" s="30"/>
      <c r="AF209" s="30"/>
      <c r="AG209" s="30"/>
      <c r="AH209" s="30"/>
      <c r="AI209" s="30"/>
      <c r="AJ209" s="30"/>
      <c r="AK209" s="30"/>
      <c r="AL209" s="30"/>
      <c r="AM209" s="30"/>
      <c r="AN209" s="30"/>
      <c r="AO209" s="30"/>
    </row>
    <row r="210" spans="1:41" s="39" customFormat="1" ht="18.75" customHeight="1">
      <c r="A210" s="32">
        <v>52</v>
      </c>
      <c r="B210" s="107"/>
      <c r="C210" s="20" t="str">
        <f>IF(A210="","VARA",VLOOKUP(A210,'[1]varas'!$A$4:$B$67,2))</f>
        <v>VT Limoeiro</v>
      </c>
      <c r="D210" s="15"/>
      <c r="E210" s="16"/>
      <c r="F210" s="15">
        <f>5+14</f>
        <v>19</v>
      </c>
      <c r="G210" s="15">
        <v>0</v>
      </c>
      <c r="H210" s="15">
        <v>7</v>
      </c>
      <c r="I210" s="17">
        <f>SUM(F210:H210)</f>
        <v>26</v>
      </c>
      <c r="J210" s="15">
        <v>7</v>
      </c>
      <c r="K210" s="15">
        <v>5</v>
      </c>
      <c r="L210" s="15">
        <v>0</v>
      </c>
      <c r="M210" s="15">
        <v>4</v>
      </c>
      <c r="N210" s="15">
        <v>0</v>
      </c>
      <c r="O210" s="15">
        <v>10</v>
      </c>
      <c r="P210" s="15">
        <f>SUM(J210:O210)</f>
        <v>26</v>
      </c>
      <c r="Q210" s="15">
        <v>0</v>
      </c>
      <c r="R210" s="15">
        <v>0</v>
      </c>
      <c r="S210" s="15">
        <v>0</v>
      </c>
      <c r="T210" s="15">
        <v>0</v>
      </c>
      <c r="U210" s="15">
        <v>24</v>
      </c>
      <c r="V210" s="18"/>
      <c r="W210" s="18"/>
      <c r="X210" s="30"/>
      <c r="Y210" s="30"/>
      <c r="Z210" s="30"/>
      <c r="AA210" s="30"/>
      <c r="AB210" s="34"/>
      <c r="AC210" s="30"/>
      <c r="AD210" s="30"/>
      <c r="AE210" s="30"/>
      <c r="AF210" s="30"/>
      <c r="AG210" s="30"/>
      <c r="AH210" s="30"/>
      <c r="AI210" s="30"/>
      <c r="AJ210" s="30"/>
      <c r="AK210" s="30"/>
      <c r="AL210" s="30"/>
      <c r="AM210" s="30"/>
      <c r="AN210" s="30"/>
      <c r="AO210" s="30"/>
    </row>
    <row r="211" spans="1:41" s="39" customFormat="1" ht="18.75" customHeight="1">
      <c r="A211" s="32">
        <v>64</v>
      </c>
      <c r="B211" s="107"/>
      <c r="C211" s="20" t="str">
        <f>IF(A211="","VARA",VLOOKUP(A211,'[1]varas'!$A$4:$B$67,2))</f>
        <v>PAJT Surubim</v>
      </c>
      <c r="D211" s="15"/>
      <c r="E211" s="16"/>
      <c r="F211" s="15">
        <v>12</v>
      </c>
      <c r="G211" s="15">
        <v>0</v>
      </c>
      <c r="H211" s="15">
        <v>2</v>
      </c>
      <c r="I211" s="17">
        <f>SUM(F211:H211)</f>
        <v>14</v>
      </c>
      <c r="J211" s="15">
        <v>10</v>
      </c>
      <c r="K211" s="15">
        <v>0</v>
      </c>
      <c r="L211" s="15">
        <v>1</v>
      </c>
      <c r="M211" s="15">
        <v>0</v>
      </c>
      <c r="N211" s="15">
        <v>0</v>
      </c>
      <c r="O211" s="15">
        <v>1</v>
      </c>
      <c r="P211" s="15">
        <f>SUM(J211:O211)</f>
        <v>12</v>
      </c>
      <c r="Q211" s="15">
        <v>1</v>
      </c>
      <c r="R211" s="15">
        <v>0</v>
      </c>
      <c r="S211" s="15">
        <v>0</v>
      </c>
      <c r="T211" s="15">
        <v>1</v>
      </c>
      <c r="U211" s="15">
        <v>28</v>
      </c>
      <c r="V211" s="18"/>
      <c r="W211" s="18"/>
      <c r="X211" s="30"/>
      <c r="Y211" s="30"/>
      <c r="Z211" s="30"/>
      <c r="AA211" s="30"/>
      <c r="AB211" s="34"/>
      <c r="AC211" s="30"/>
      <c r="AD211" s="30"/>
      <c r="AE211" s="30"/>
      <c r="AF211" s="30"/>
      <c r="AG211" s="30"/>
      <c r="AH211" s="30"/>
      <c r="AI211" s="30"/>
      <c r="AJ211" s="30"/>
      <c r="AK211" s="30"/>
      <c r="AL211" s="30"/>
      <c r="AM211" s="30"/>
      <c r="AN211" s="30"/>
      <c r="AO211" s="30"/>
    </row>
    <row r="212" spans="1:41" s="39" customFormat="1" ht="18.75" customHeight="1">
      <c r="A212" s="32">
        <v>32</v>
      </c>
      <c r="B212" s="107"/>
      <c r="C212" s="20" t="str">
        <f>IF(A212="","VARA",VLOOKUP(A212,'[1]varas'!$A$4:$B$67,2))</f>
        <v>1ª VT Ipojuca</v>
      </c>
      <c r="D212" s="15"/>
      <c r="E212" s="16"/>
      <c r="F212" s="15">
        <f>5+18</f>
        <v>23</v>
      </c>
      <c r="G212" s="15">
        <v>0</v>
      </c>
      <c r="H212" s="15">
        <v>56</v>
      </c>
      <c r="I212" s="17">
        <f>SUM(F212:H212)</f>
        <v>79</v>
      </c>
      <c r="J212" s="15">
        <v>12</v>
      </c>
      <c r="K212" s="15">
        <v>1</v>
      </c>
      <c r="L212" s="15">
        <v>18</v>
      </c>
      <c r="M212" s="15">
        <v>0</v>
      </c>
      <c r="N212" s="15">
        <v>0</v>
      </c>
      <c r="O212" s="15">
        <v>0</v>
      </c>
      <c r="P212" s="15">
        <f>SUM(J212:O212)</f>
        <v>31</v>
      </c>
      <c r="Q212" s="15">
        <v>0</v>
      </c>
      <c r="R212" s="15">
        <v>48</v>
      </c>
      <c r="S212" s="15">
        <v>0</v>
      </c>
      <c r="T212" s="15">
        <v>0</v>
      </c>
      <c r="U212" s="15">
        <v>0</v>
      </c>
      <c r="V212" s="18"/>
      <c r="W212" s="18"/>
      <c r="X212" s="30"/>
      <c r="Y212" s="30"/>
      <c r="Z212" s="30"/>
      <c r="AA212" s="30"/>
      <c r="AB212" s="34"/>
      <c r="AC212" s="30"/>
      <c r="AD212" s="30"/>
      <c r="AE212" s="30"/>
      <c r="AF212" s="30"/>
      <c r="AG212" s="30"/>
      <c r="AH212" s="30"/>
      <c r="AI212" s="30"/>
      <c r="AJ212" s="30"/>
      <c r="AK212" s="30"/>
      <c r="AL212" s="30"/>
      <c r="AM212" s="30"/>
      <c r="AN212" s="30"/>
      <c r="AO212" s="30"/>
    </row>
    <row r="213" spans="1:41" s="53" customFormat="1" ht="17.25" customHeight="1">
      <c r="A213" s="47"/>
      <c r="B213" s="107"/>
      <c r="C213" s="20" t="s">
        <v>12</v>
      </c>
      <c r="D213" s="24"/>
      <c r="E213" s="48"/>
      <c r="F213" s="24">
        <f>SUM(F208:F212)</f>
        <v>54</v>
      </c>
      <c r="G213" s="24">
        <f>SUM(G208:G212)</f>
        <v>0</v>
      </c>
      <c r="H213" s="24">
        <f>SUM(H208:H212)</f>
        <v>68</v>
      </c>
      <c r="I213" s="40">
        <f>SUM(F213:H213)</f>
        <v>122</v>
      </c>
      <c r="J213" s="24">
        <f aca="true" t="shared" si="63" ref="J213:O213">SUM(J208:J212)</f>
        <v>29</v>
      </c>
      <c r="K213" s="24">
        <f t="shared" si="63"/>
        <v>6</v>
      </c>
      <c r="L213" s="24">
        <f t="shared" si="63"/>
        <v>19</v>
      </c>
      <c r="M213" s="24">
        <f t="shared" si="63"/>
        <v>4</v>
      </c>
      <c r="N213" s="24">
        <f t="shared" si="63"/>
        <v>0</v>
      </c>
      <c r="O213" s="24">
        <f t="shared" si="63"/>
        <v>11</v>
      </c>
      <c r="P213" s="24">
        <f>SUM(J213:O213)</f>
        <v>69</v>
      </c>
      <c r="Q213" s="24">
        <f>SUM(Q208:Q212)</f>
        <v>1</v>
      </c>
      <c r="R213" s="24">
        <f>SUM(R208:R212)</f>
        <v>51</v>
      </c>
      <c r="S213" s="24">
        <f>SUM(S208:S212)</f>
        <v>0</v>
      </c>
      <c r="T213" s="24">
        <f>SUM(T208:T212)</f>
        <v>1</v>
      </c>
      <c r="U213" s="24">
        <f>SUM(U208:U212)</f>
        <v>52</v>
      </c>
      <c r="V213" s="26">
        <f>IF(I213-Q213=0,"",IF(D213="",(P213+S213)/(I213-Q213),IF(AND(D213&lt;&gt;"",(P213+S213)/(I213-Q213)&gt;=50%),(P213+S213)/(I213-Q213),"")))</f>
        <v>0.5702479338842975</v>
      </c>
      <c r="W213" s="26">
        <f>IF(I213=O213,"",IF(V213="",0,(P213+Q213+S213-O213)/(I213-O213)))</f>
        <v>0.5315315315315315</v>
      </c>
      <c r="X213" s="49"/>
      <c r="Y213" s="49"/>
      <c r="Z213" s="49"/>
      <c r="AA213" s="49"/>
      <c r="AB213" s="50"/>
      <c r="AC213" s="49"/>
      <c r="AD213" s="49"/>
      <c r="AE213" s="49"/>
      <c r="AF213" s="49"/>
      <c r="AG213" s="49"/>
      <c r="AH213" s="49"/>
      <c r="AI213" s="49"/>
      <c r="AJ213" s="49"/>
      <c r="AK213" s="49"/>
      <c r="AL213" s="49"/>
      <c r="AM213" s="49"/>
      <c r="AN213" s="49"/>
      <c r="AO213" s="49"/>
    </row>
    <row r="214" spans="1:41" s="39" customFormat="1" ht="20.25" customHeight="1">
      <c r="A214" s="32"/>
      <c r="B214" s="107" t="s">
        <v>79</v>
      </c>
      <c r="C214" s="14" t="s">
        <v>2</v>
      </c>
      <c r="D214" s="29" t="s">
        <v>170</v>
      </c>
      <c r="E214" s="16" t="s">
        <v>181</v>
      </c>
      <c r="F214" s="15"/>
      <c r="G214" s="15"/>
      <c r="H214" s="15"/>
      <c r="I214" s="17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8"/>
      <c r="W214" s="18"/>
      <c r="X214" s="30"/>
      <c r="Y214" s="30"/>
      <c r="Z214" s="30"/>
      <c r="AA214" s="30"/>
      <c r="AB214" s="34"/>
      <c r="AC214" s="30"/>
      <c r="AD214" s="30"/>
      <c r="AE214" s="30"/>
      <c r="AF214" s="30"/>
      <c r="AG214" s="30"/>
      <c r="AH214" s="30"/>
      <c r="AI214" s="30"/>
      <c r="AJ214" s="30"/>
      <c r="AK214" s="30"/>
      <c r="AL214" s="30"/>
      <c r="AM214" s="30"/>
      <c r="AN214" s="30"/>
      <c r="AO214" s="30"/>
    </row>
    <row r="215" spans="1:41" s="39" customFormat="1" ht="18.75" customHeight="1">
      <c r="A215" s="32">
        <v>66</v>
      </c>
      <c r="B215" s="107"/>
      <c r="C215" s="20" t="s">
        <v>174</v>
      </c>
      <c r="D215" s="15"/>
      <c r="E215" s="16"/>
      <c r="F215" s="15">
        <v>0</v>
      </c>
      <c r="G215" s="15">
        <v>0</v>
      </c>
      <c r="H215" s="15">
        <v>0</v>
      </c>
      <c r="I215" s="17">
        <f>SUM(F215:H215)</f>
        <v>0</v>
      </c>
      <c r="J215" s="15">
        <v>0</v>
      </c>
      <c r="K215" s="15">
        <v>0</v>
      </c>
      <c r="L215" s="15">
        <v>0</v>
      </c>
      <c r="M215" s="15">
        <v>0</v>
      </c>
      <c r="N215" s="15">
        <v>0</v>
      </c>
      <c r="O215" s="15">
        <v>0</v>
      </c>
      <c r="P215" s="15">
        <f>SUM(J215:O215)</f>
        <v>0</v>
      </c>
      <c r="Q215" s="15">
        <v>0</v>
      </c>
      <c r="R215" s="15">
        <v>0</v>
      </c>
      <c r="S215" s="15">
        <v>0</v>
      </c>
      <c r="T215" s="15">
        <v>0</v>
      </c>
      <c r="U215" s="15">
        <v>0</v>
      </c>
      <c r="V215" s="18"/>
      <c r="W215" s="18"/>
      <c r="X215" s="30"/>
      <c r="Y215" s="30"/>
      <c r="Z215" s="30"/>
      <c r="AA215" s="30"/>
      <c r="AB215" s="34"/>
      <c r="AC215" s="30"/>
      <c r="AD215" s="30"/>
      <c r="AE215" s="30"/>
      <c r="AF215" s="30"/>
      <c r="AG215" s="30"/>
      <c r="AH215" s="30"/>
      <c r="AI215" s="30"/>
      <c r="AJ215" s="30"/>
      <c r="AK215" s="30"/>
      <c r="AL215" s="30"/>
      <c r="AM215" s="30"/>
      <c r="AN215" s="30"/>
      <c r="AO215" s="30"/>
    </row>
    <row r="216" spans="1:41" s="53" customFormat="1" ht="20.25" customHeight="1">
      <c r="A216" s="47"/>
      <c r="B216" s="107"/>
      <c r="C216" s="21" t="s">
        <v>12</v>
      </c>
      <c r="D216" s="51"/>
      <c r="E216" s="52"/>
      <c r="F216" s="24">
        <f>SUM(F214:F215)</f>
        <v>0</v>
      </c>
      <c r="G216" s="24">
        <f>SUM(G214:G215)</f>
        <v>0</v>
      </c>
      <c r="H216" s="24">
        <f>SUM(H214:H215)</f>
        <v>0</v>
      </c>
      <c r="I216" s="25">
        <f>SUM(F216:H216)</f>
        <v>0</v>
      </c>
      <c r="J216" s="24">
        <f aca="true" t="shared" si="64" ref="J216:O216">SUM(J214:J215)</f>
        <v>0</v>
      </c>
      <c r="K216" s="24">
        <f t="shared" si="64"/>
        <v>0</v>
      </c>
      <c r="L216" s="24">
        <f t="shared" si="64"/>
        <v>0</v>
      </c>
      <c r="M216" s="24">
        <f t="shared" si="64"/>
        <v>0</v>
      </c>
      <c r="N216" s="24">
        <f t="shared" si="64"/>
        <v>0</v>
      </c>
      <c r="O216" s="24">
        <f t="shared" si="64"/>
        <v>0</v>
      </c>
      <c r="P216" s="24">
        <f>SUM(J216:O216)</f>
        <v>0</v>
      </c>
      <c r="Q216" s="24">
        <f>SUM(Q214:Q215)</f>
        <v>0</v>
      </c>
      <c r="R216" s="24">
        <f>SUM(R214:R215)</f>
        <v>0</v>
      </c>
      <c r="S216" s="24">
        <f>SUM(S214:S215)</f>
        <v>0</v>
      </c>
      <c r="T216" s="24">
        <f>SUM(T214:T215)</f>
        <v>0</v>
      </c>
      <c r="U216" s="24">
        <f>SUM(U214:U215)</f>
        <v>0</v>
      </c>
      <c r="V216" s="26">
        <f>IF(I216-Q216=0,"",IF(D216="",(P216+S216)/(I216-Q216),IF(AND(D216&lt;&gt;"",(P216+S216)/(I216-Q216)&gt;=50%),(P216+S216)/(I216-Q216),"")))</f>
      </c>
      <c r="W216" s="26">
        <f>IF(I216=O216,"",IF(V216="",0,(P216+Q216+S216-O216)/(I216-O216)))</f>
      </c>
      <c r="X216" s="49"/>
      <c r="Y216" s="49"/>
      <c r="Z216" s="49"/>
      <c r="AA216" s="49"/>
      <c r="AB216" s="50"/>
      <c r="AC216" s="49"/>
      <c r="AD216" s="49"/>
      <c r="AE216" s="49"/>
      <c r="AF216" s="49"/>
      <c r="AG216" s="49"/>
      <c r="AH216" s="49"/>
      <c r="AI216" s="49"/>
      <c r="AJ216" s="49"/>
      <c r="AK216" s="49"/>
      <c r="AL216" s="49"/>
      <c r="AM216" s="49"/>
      <c r="AN216" s="49"/>
      <c r="AO216" s="49"/>
    </row>
    <row r="217" spans="1:41" s="39" customFormat="1" ht="20.25" customHeight="1">
      <c r="A217" s="32"/>
      <c r="B217" s="107" t="s">
        <v>80</v>
      </c>
      <c r="C217" s="14" t="s">
        <v>2</v>
      </c>
      <c r="D217" s="29"/>
      <c r="E217" s="16" t="s">
        <v>27</v>
      </c>
      <c r="F217" s="15"/>
      <c r="G217" s="15"/>
      <c r="H217" s="15"/>
      <c r="I217" s="17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8"/>
      <c r="W217" s="18"/>
      <c r="X217" s="30"/>
      <c r="Y217" s="30"/>
      <c r="Z217" s="30"/>
      <c r="AA217" s="30"/>
      <c r="AB217" s="34"/>
      <c r="AC217" s="30"/>
      <c r="AD217" s="30"/>
      <c r="AE217" s="30"/>
      <c r="AF217" s="30"/>
      <c r="AG217" s="30"/>
      <c r="AH217" s="30"/>
      <c r="AI217" s="30"/>
      <c r="AJ217" s="30"/>
      <c r="AK217" s="30"/>
      <c r="AL217" s="30"/>
      <c r="AM217" s="30"/>
      <c r="AN217" s="30"/>
      <c r="AO217" s="30"/>
    </row>
    <row r="218" spans="1:41" s="39" customFormat="1" ht="20.25" customHeight="1">
      <c r="A218" s="32">
        <v>29</v>
      </c>
      <c r="B218" s="107"/>
      <c r="C218" s="20" t="str">
        <f>IF(A218="","VARA",VLOOKUP(A218,'[1]varas'!$A$4:$B$67,2))</f>
        <v>2ª VT Caruaru</v>
      </c>
      <c r="D218" s="15"/>
      <c r="E218" s="16"/>
      <c r="F218" s="15">
        <f>36+36+14+4</f>
        <v>90</v>
      </c>
      <c r="G218" s="15">
        <v>12</v>
      </c>
      <c r="H218" s="15">
        <v>0</v>
      </c>
      <c r="I218" s="17">
        <f>SUM(F218:H218)</f>
        <v>102</v>
      </c>
      <c r="J218" s="15">
        <v>19</v>
      </c>
      <c r="K218" s="15">
        <v>15</v>
      </c>
      <c r="L218" s="15">
        <v>14</v>
      </c>
      <c r="M218" s="15">
        <v>3</v>
      </c>
      <c r="N218" s="15">
        <v>1</v>
      </c>
      <c r="O218" s="15">
        <v>36</v>
      </c>
      <c r="P218" s="15">
        <f>SUM(J218:O218)</f>
        <v>88</v>
      </c>
      <c r="Q218" s="15">
        <v>12</v>
      </c>
      <c r="R218" s="15">
        <v>2</v>
      </c>
      <c r="S218" s="15">
        <v>0</v>
      </c>
      <c r="T218" s="15">
        <v>0</v>
      </c>
      <c r="U218" s="15">
        <v>177</v>
      </c>
      <c r="V218" s="18"/>
      <c r="W218" s="18"/>
      <c r="X218" s="30"/>
      <c r="Y218" s="30"/>
      <c r="Z218" s="30"/>
      <c r="AA218" s="30"/>
      <c r="AB218" s="34"/>
      <c r="AC218" s="30"/>
      <c r="AD218" s="30"/>
      <c r="AE218" s="30"/>
      <c r="AF218" s="30"/>
      <c r="AG218" s="30"/>
      <c r="AH218" s="30"/>
      <c r="AI218" s="30"/>
      <c r="AJ218" s="30"/>
      <c r="AK218" s="30"/>
      <c r="AL218" s="30"/>
      <c r="AM218" s="30"/>
      <c r="AN218" s="30"/>
      <c r="AO218" s="30"/>
    </row>
    <row r="219" spans="1:41" s="53" customFormat="1" ht="17.25" customHeight="1">
      <c r="A219" s="47"/>
      <c r="B219" s="107"/>
      <c r="C219" s="21" t="s">
        <v>12</v>
      </c>
      <c r="D219" s="51"/>
      <c r="E219" s="52"/>
      <c r="F219" s="24">
        <f>SUM(F217:F218)</f>
        <v>90</v>
      </c>
      <c r="G219" s="24">
        <f>SUM(G217:G218)</f>
        <v>12</v>
      </c>
      <c r="H219" s="24">
        <f>SUM(H217:H218)</f>
        <v>0</v>
      </c>
      <c r="I219" s="25">
        <f>SUM(F219:H219)</f>
        <v>102</v>
      </c>
      <c r="J219" s="24">
        <f aca="true" t="shared" si="65" ref="J219:O219">SUM(J217:J218)</f>
        <v>19</v>
      </c>
      <c r="K219" s="24">
        <f t="shared" si="65"/>
        <v>15</v>
      </c>
      <c r="L219" s="24">
        <f t="shared" si="65"/>
        <v>14</v>
      </c>
      <c r="M219" s="24">
        <f t="shared" si="65"/>
        <v>3</v>
      </c>
      <c r="N219" s="24">
        <f t="shared" si="65"/>
        <v>1</v>
      </c>
      <c r="O219" s="24">
        <f t="shared" si="65"/>
        <v>36</v>
      </c>
      <c r="P219" s="24">
        <f>SUM(J219:O219)</f>
        <v>88</v>
      </c>
      <c r="Q219" s="24">
        <f>SUM(Q217:Q218)</f>
        <v>12</v>
      </c>
      <c r="R219" s="24">
        <f>SUM(R217:R218)</f>
        <v>2</v>
      </c>
      <c r="S219" s="24">
        <f>SUM(S217:S218)</f>
        <v>0</v>
      </c>
      <c r="T219" s="24">
        <f>SUM(T217:T218)</f>
        <v>0</v>
      </c>
      <c r="U219" s="24">
        <f>SUM(U217:U218)</f>
        <v>177</v>
      </c>
      <c r="V219" s="26">
        <f>IF(I219-Q219=0,"",IF(D219="",(P219+S219)/(I219-Q219),IF(AND(D219&lt;&gt;"",(P219+S219)/(I219-Q219)&gt;=50%),(P219+S219)/(I219-Q219),"")))</f>
        <v>0.9777777777777777</v>
      </c>
      <c r="W219" s="26">
        <f>IF(I219=O219,"",IF(V219="",0,(P219+Q219+S219-O219)/(I219-O219)))</f>
        <v>0.9696969696969697</v>
      </c>
      <c r="X219" s="49"/>
      <c r="Y219" s="49"/>
      <c r="Z219" s="49"/>
      <c r="AA219" s="49"/>
      <c r="AB219" s="50"/>
      <c r="AC219" s="49"/>
      <c r="AD219" s="49"/>
      <c r="AE219" s="49"/>
      <c r="AF219" s="49"/>
      <c r="AG219" s="49"/>
      <c r="AH219" s="49"/>
      <c r="AI219" s="49"/>
      <c r="AJ219" s="49"/>
      <c r="AK219" s="49"/>
      <c r="AL219" s="49"/>
      <c r="AM219" s="49"/>
      <c r="AN219" s="49"/>
      <c r="AO219" s="49"/>
    </row>
    <row r="220" spans="1:41" s="39" customFormat="1" ht="18.75" customHeight="1">
      <c r="A220" s="32"/>
      <c r="B220" s="107" t="s">
        <v>81</v>
      </c>
      <c r="C220" s="14" t="s">
        <v>2</v>
      </c>
      <c r="D220" s="29" t="s">
        <v>30</v>
      </c>
      <c r="E220" s="16" t="s">
        <v>201</v>
      </c>
      <c r="F220" s="15"/>
      <c r="G220" s="15"/>
      <c r="H220" s="15"/>
      <c r="I220" s="17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18"/>
      <c r="W220" s="18"/>
      <c r="X220" s="30"/>
      <c r="Y220" s="30"/>
      <c r="Z220" s="30"/>
      <c r="AA220" s="30"/>
      <c r="AB220" s="34"/>
      <c r="AC220" s="30"/>
      <c r="AD220" s="30"/>
      <c r="AE220" s="30"/>
      <c r="AF220" s="30"/>
      <c r="AG220" s="30"/>
      <c r="AH220" s="30"/>
      <c r="AI220" s="30"/>
      <c r="AJ220" s="30"/>
      <c r="AK220" s="30"/>
      <c r="AL220" s="30"/>
      <c r="AM220" s="30"/>
      <c r="AN220" s="30"/>
      <c r="AO220" s="30"/>
    </row>
    <row r="221" spans="1:41" s="39" customFormat="1" ht="18.75" customHeight="1">
      <c r="A221" s="32">
        <v>21</v>
      </c>
      <c r="B221" s="107"/>
      <c r="C221" s="20" t="str">
        <f>IF(A221="","VARA",VLOOKUP(A221,'[1]varas'!$A$4:$B$67,2))</f>
        <v>21ª VT Recife</v>
      </c>
      <c r="D221" s="15"/>
      <c r="E221" s="16"/>
      <c r="F221" s="15">
        <v>0</v>
      </c>
      <c r="G221" s="15">
        <v>8</v>
      </c>
      <c r="H221" s="15">
        <v>1</v>
      </c>
      <c r="I221" s="17">
        <f>SUM(F221:H221)</f>
        <v>9</v>
      </c>
      <c r="J221" s="15">
        <v>0</v>
      </c>
      <c r="K221" s="15">
        <v>0</v>
      </c>
      <c r="L221" s="15">
        <v>0</v>
      </c>
      <c r="M221" s="15">
        <v>0</v>
      </c>
      <c r="N221" s="15">
        <v>0</v>
      </c>
      <c r="O221" s="15">
        <v>0</v>
      </c>
      <c r="P221" s="15">
        <f>SUM(J221:O221)</f>
        <v>0</v>
      </c>
      <c r="Q221" s="15">
        <v>8</v>
      </c>
      <c r="R221" s="15">
        <v>1</v>
      </c>
      <c r="S221" s="15">
        <v>0</v>
      </c>
      <c r="T221" s="15">
        <v>0</v>
      </c>
      <c r="U221" s="15">
        <v>0</v>
      </c>
      <c r="V221" s="18"/>
      <c r="W221" s="18"/>
      <c r="X221" s="30"/>
      <c r="Y221" s="30"/>
      <c r="Z221" s="30"/>
      <c r="AA221" s="30"/>
      <c r="AB221" s="34"/>
      <c r="AC221" s="30"/>
      <c r="AD221" s="30"/>
      <c r="AE221" s="30"/>
      <c r="AF221" s="30"/>
      <c r="AG221" s="30"/>
      <c r="AH221" s="30"/>
      <c r="AI221" s="30"/>
      <c r="AJ221" s="30"/>
      <c r="AK221" s="30"/>
      <c r="AL221" s="30"/>
      <c r="AM221" s="30"/>
      <c r="AN221" s="30"/>
      <c r="AO221" s="30"/>
    </row>
    <row r="222" spans="1:41" s="39" customFormat="1" ht="18" customHeight="1">
      <c r="A222" s="32"/>
      <c r="B222" s="107"/>
      <c r="C222" s="21" t="s">
        <v>12</v>
      </c>
      <c r="D222" s="33"/>
      <c r="E222" s="23"/>
      <c r="F222" s="24">
        <f>SUM(F220:F221)</f>
        <v>0</v>
      </c>
      <c r="G222" s="24">
        <f>SUM(G220:G221)</f>
        <v>8</v>
      </c>
      <c r="H222" s="24">
        <f>SUM(H220:H221)</f>
        <v>1</v>
      </c>
      <c r="I222" s="40">
        <f>SUM(F222:H222)</f>
        <v>9</v>
      </c>
      <c r="J222" s="24">
        <f aca="true" t="shared" si="66" ref="J222:O222">SUM(J220:J221)</f>
        <v>0</v>
      </c>
      <c r="K222" s="24">
        <f t="shared" si="66"/>
        <v>0</v>
      </c>
      <c r="L222" s="24">
        <f t="shared" si="66"/>
        <v>0</v>
      </c>
      <c r="M222" s="24">
        <f t="shared" si="66"/>
        <v>0</v>
      </c>
      <c r="N222" s="24">
        <f t="shared" si="66"/>
        <v>0</v>
      </c>
      <c r="O222" s="24">
        <f t="shared" si="66"/>
        <v>0</v>
      </c>
      <c r="P222" s="24">
        <f>SUM(J222:O222)</f>
        <v>0</v>
      </c>
      <c r="Q222" s="24">
        <f>SUM(Q220:Q221)</f>
        <v>8</v>
      </c>
      <c r="R222" s="24">
        <f>SUM(R220:R221)</f>
        <v>1</v>
      </c>
      <c r="S222" s="24">
        <f>SUM(S220:S221)</f>
        <v>0</v>
      </c>
      <c r="T222" s="24">
        <f>SUM(T220:T221)</f>
        <v>0</v>
      </c>
      <c r="U222" s="24">
        <f>SUM(U220:U221)</f>
        <v>0</v>
      </c>
      <c r="V222" s="26">
        <f>IF(I222-Q222=0,"",IF(D222="",(P222+S222)/(I222-Q222),IF(AND(D222&lt;&gt;"",(P222+S222)/(I222-Q222)&gt;=50%),(P222+S222)/(I222-Q222),"")))</f>
        <v>0</v>
      </c>
      <c r="W222" s="26">
        <f>IF(I222=O222,"",IF(V222="",0,(P222+Q222+S222-O222)/(I222-O222)))</f>
        <v>0.8888888888888888</v>
      </c>
      <c r="X222" s="30"/>
      <c r="Y222" s="30"/>
      <c r="Z222" s="30"/>
      <c r="AA222" s="30"/>
      <c r="AB222" s="34"/>
      <c r="AC222" s="30"/>
      <c r="AD222" s="30"/>
      <c r="AE222" s="30"/>
      <c r="AF222" s="30"/>
      <c r="AG222" s="30"/>
      <c r="AH222" s="30"/>
      <c r="AI222" s="30"/>
      <c r="AJ222" s="30"/>
      <c r="AK222" s="30"/>
      <c r="AL222" s="30"/>
      <c r="AM222" s="30"/>
      <c r="AN222" s="30"/>
      <c r="AO222" s="30"/>
    </row>
    <row r="223" spans="1:41" s="39" customFormat="1" ht="18.75" customHeight="1">
      <c r="A223" s="32"/>
      <c r="B223" s="107" t="s">
        <v>82</v>
      </c>
      <c r="C223" s="14" t="s">
        <v>2</v>
      </c>
      <c r="D223" s="29"/>
      <c r="E223" s="16" t="s">
        <v>27</v>
      </c>
      <c r="F223" s="15"/>
      <c r="G223" s="15"/>
      <c r="H223" s="15"/>
      <c r="I223" s="17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5"/>
      <c r="V223" s="18"/>
      <c r="W223" s="18"/>
      <c r="X223" s="30"/>
      <c r="Y223" s="30"/>
      <c r="Z223" s="30"/>
      <c r="AA223" s="30"/>
      <c r="AB223" s="34"/>
      <c r="AC223" s="30"/>
      <c r="AD223" s="30"/>
      <c r="AE223" s="30"/>
      <c r="AF223" s="30"/>
      <c r="AG223" s="30"/>
      <c r="AH223" s="30"/>
      <c r="AI223" s="30"/>
      <c r="AJ223" s="30"/>
      <c r="AK223" s="30"/>
      <c r="AL223" s="30"/>
      <c r="AM223" s="30"/>
      <c r="AN223" s="30"/>
      <c r="AO223" s="30"/>
    </row>
    <row r="224" spans="1:41" s="39" customFormat="1" ht="18.75" customHeight="1">
      <c r="A224" s="32">
        <v>54</v>
      </c>
      <c r="B224" s="107"/>
      <c r="C224" s="20" t="str">
        <f>IF(A224="","VARA",VLOOKUP(A224,'[1]varas'!$A$4:$B$67,2))</f>
        <v>VT Palmares</v>
      </c>
      <c r="D224" s="15"/>
      <c r="E224" s="16"/>
      <c r="F224" s="15">
        <f>68+62+3</f>
        <v>133</v>
      </c>
      <c r="G224" s="15">
        <v>7</v>
      </c>
      <c r="H224" s="15">
        <v>0</v>
      </c>
      <c r="I224" s="17">
        <f>SUM(F224:H224)</f>
        <v>140</v>
      </c>
      <c r="J224" s="15">
        <v>27</v>
      </c>
      <c r="K224" s="15">
        <v>43</v>
      </c>
      <c r="L224" s="15">
        <v>3</v>
      </c>
      <c r="M224" s="15">
        <v>0</v>
      </c>
      <c r="N224" s="15">
        <v>0</v>
      </c>
      <c r="O224" s="15">
        <v>62</v>
      </c>
      <c r="P224" s="15">
        <f>SUM(J224:O224)</f>
        <v>135</v>
      </c>
      <c r="Q224" s="15">
        <v>5</v>
      </c>
      <c r="R224" s="15">
        <v>0</v>
      </c>
      <c r="S224" s="15">
        <v>0</v>
      </c>
      <c r="T224" s="15">
        <v>0</v>
      </c>
      <c r="U224" s="15">
        <v>232</v>
      </c>
      <c r="V224" s="18"/>
      <c r="W224" s="18"/>
      <c r="X224" s="30"/>
      <c r="Y224" s="30"/>
      <c r="Z224" s="30"/>
      <c r="AA224" s="30"/>
      <c r="AB224" s="34"/>
      <c r="AC224" s="30"/>
      <c r="AD224" s="30"/>
      <c r="AE224" s="30"/>
      <c r="AF224" s="30"/>
      <c r="AG224" s="30"/>
      <c r="AH224" s="30"/>
      <c r="AI224" s="30"/>
      <c r="AJ224" s="30"/>
      <c r="AK224" s="30"/>
      <c r="AL224" s="30"/>
      <c r="AM224" s="30"/>
      <c r="AN224" s="30"/>
      <c r="AO224" s="30"/>
    </row>
    <row r="225" spans="1:41" s="39" customFormat="1" ht="18.75" customHeight="1">
      <c r="A225" s="32">
        <v>43</v>
      </c>
      <c r="B225" s="107"/>
      <c r="C225" s="20" t="str">
        <f>IF(A225="","VARA",VLOOKUP(A225,'[1]varas'!$A$4:$B$67,2))</f>
        <v>1ª VT Petrolina</v>
      </c>
      <c r="D225" s="15"/>
      <c r="E225" s="16"/>
      <c r="F225" s="15">
        <v>0</v>
      </c>
      <c r="G225" s="15">
        <v>2</v>
      </c>
      <c r="H225" s="15">
        <v>0</v>
      </c>
      <c r="I225" s="17">
        <f>SUM(F225:H225)</f>
        <v>2</v>
      </c>
      <c r="J225" s="15">
        <v>2</v>
      </c>
      <c r="K225" s="15">
        <v>0</v>
      </c>
      <c r="L225" s="15">
        <v>0</v>
      </c>
      <c r="M225" s="15">
        <v>0</v>
      </c>
      <c r="N225" s="15">
        <v>0</v>
      </c>
      <c r="O225" s="15">
        <v>0</v>
      </c>
      <c r="P225" s="15">
        <f>SUM(J225:O225)</f>
        <v>2</v>
      </c>
      <c r="Q225" s="15">
        <v>0</v>
      </c>
      <c r="R225" s="15">
        <v>0</v>
      </c>
      <c r="S225" s="15">
        <v>0</v>
      </c>
      <c r="T225" s="15">
        <v>0</v>
      </c>
      <c r="U225" s="15">
        <v>0</v>
      </c>
      <c r="V225" s="18"/>
      <c r="W225" s="18"/>
      <c r="X225" s="30"/>
      <c r="Y225" s="30"/>
      <c r="Z225" s="30"/>
      <c r="AA225" s="30"/>
      <c r="AB225" s="34"/>
      <c r="AC225" s="30"/>
      <c r="AD225" s="30"/>
      <c r="AE225" s="30"/>
      <c r="AF225" s="30"/>
      <c r="AG225" s="30"/>
      <c r="AH225" s="30"/>
      <c r="AI225" s="30"/>
      <c r="AJ225" s="30"/>
      <c r="AK225" s="30"/>
      <c r="AL225" s="30"/>
      <c r="AM225" s="30"/>
      <c r="AN225" s="30"/>
      <c r="AO225" s="30"/>
    </row>
    <row r="226" spans="1:41" s="39" customFormat="1" ht="16.5" customHeight="1">
      <c r="A226" s="32"/>
      <c r="B226" s="107"/>
      <c r="C226" s="21" t="s">
        <v>12</v>
      </c>
      <c r="D226" s="33"/>
      <c r="E226" s="23"/>
      <c r="F226" s="24">
        <f>SUM(F223:F225)</f>
        <v>133</v>
      </c>
      <c r="G226" s="24">
        <f>SUM(G223:G225)</f>
        <v>9</v>
      </c>
      <c r="H226" s="24">
        <f>SUM(H223:H225)</f>
        <v>0</v>
      </c>
      <c r="I226" s="40">
        <f>SUM(F226:H226)</f>
        <v>142</v>
      </c>
      <c r="J226" s="24">
        <f aca="true" t="shared" si="67" ref="J226:O226">SUM(J223:J225)</f>
        <v>29</v>
      </c>
      <c r="K226" s="24">
        <f t="shared" si="67"/>
        <v>43</v>
      </c>
      <c r="L226" s="24">
        <f t="shared" si="67"/>
        <v>3</v>
      </c>
      <c r="M226" s="24">
        <f t="shared" si="67"/>
        <v>0</v>
      </c>
      <c r="N226" s="24">
        <f t="shared" si="67"/>
        <v>0</v>
      </c>
      <c r="O226" s="24">
        <f t="shared" si="67"/>
        <v>62</v>
      </c>
      <c r="P226" s="24">
        <f>SUM(J226:O226)</f>
        <v>137</v>
      </c>
      <c r="Q226" s="24">
        <f>SUM(Q223:Q225)</f>
        <v>5</v>
      </c>
      <c r="R226" s="24">
        <f>SUM(R223:R225)</f>
        <v>0</v>
      </c>
      <c r="S226" s="24">
        <f>SUM(S223:S225)</f>
        <v>0</v>
      </c>
      <c r="T226" s="24">
        <f>SUM(T223:T225)</f>
        <v>0</v>
      </c>
      <c r="U226" s="24">
        <f>SUM(U223:U225)</f>
        <v>232</v>
      </c>
      <c r="V226" s="26">
        <f>IF(I226-Q226=0,"",IF(D226="",(P226+S226)/(I226-Q226),IF(AND(D226&lt;&gt;"",(P226+S226)/(I226-Q226)&gt;=50%),(P226+S226)/(I226-Q226),"")))</f>
        <v>1</v>
      </c>
      <c r="W226" s="26">
        <f>IF(I226=O226,"",IF(V226="",0,(P226+Q226+S226-O226)/(I226-O226)))</f>
        <v>1</v>
      </c>
      <c r="X226" s="30"/>
      <c r="Y226" s="30"/>
      <c r="Z226" s="30"/>
      <c r="AA226" s="30"/>
      <c r="AB226" s="34"/>
      <c r="AC226" s="30"/>
      <c r="AD226" s="30"/>
      <c r="AE226" s="30"/>
      <c r="AF226" s="30"/>
      <c r="AG226" s="30"/>
      <c r="AH226" s="30"/>
      <c r="AI226" s="30"/>
      <c r="AJ226" s="30"/>
      <c r="AK226" s="30"/>
      <c r="AL226" s="30"/>
      <c r="AM226" s="30"/>
      <c r="AN226" s="30"/>
      <c r="AO226" s="30"/>
    </row>
    <row r="227" spans="1:41" s="39" customFormat="1" ht="16.5" customHeight="1">
      <c r="A227" s="32"/>
      <c r="B227" s="107" t="s">
        <v>83</v>
      </c>
      <c r="C227" s="14" t="s">
        <v>2</v>
      </c>
      <c r="D227" s="29" t="s">
        <v>30</v>
      </c>
      <c r="E227" s="16" t="s">
        <v>214</v>
      </c>
      <c r="F227" s="15"/>
      <c r="G227" s="15"/>
      <c r="H227" s="15"/>
      <c r="I227" s="17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8"/>
      <c r="W227" s="18"/>
      <c r="X227" s="30"/>
      <c r="Y227" s="30"/>
      <c r="Z227" s="30"/>
      <c r="AA227" s="30"/>
      <c r="AB227" s="34"/>
      <c r="AC227" s="30"/>
      <c r="AD227" s="30"/>
      <c r="AE227" s="30"/>
      <c r="AF227" s="30"/>
      <c r="AG227" s="30"/>
      <c r="AH227" s="30"/>
      <c r="AI227" s="30"/>
      <c r="AJ227" s="30"/>
      <c r="AK227" s="30"/>
      <c r="AL227" s="30"/>
      <c r="AM227" s="30"/>
      <c r="AN227" s="30"/>
      <c r="AO227" s="30"/>
    </row>
    <row r="228" spans="1:41" s="39" customFormat="1" ht="18" customHeight="1">
      <c r="A228" s="32">
        <v>37</v>
      </c>
      <c r="B228" s="107"/>
      <c r="C228" s="20" t="str">
        <f>IF(A228="","VARA",VLOOKUP(A228,'[1]varas'!$A$4:$B$67,2))</f>
        <v>4ª VT Jaboatão</v>
      </c>
      <c r="D228" s="15"/>
      <c r="E228" s="16"/>
      <c r="F228" s="15">
        <f>22+34+17+4</f>
        <v>77</v>
      </c>
      <c r="G228" s="15">
        <v>21</v>
      </c>
      <c r="H228" s="15">
        <v>2</v>
      </c>
      <c r="I228" s="17">
        <f>SUM(F228:H228)</f>
        <v>100</v>
      </c>
      <c r="J228" s="15">
        <v>22</v>
      </c>
      <c r="K228" s="15">
        <v>9</v>
      </c>
      <c r="L228" s="15">
        <v>17</v>
      </c>
      <c r="M228" s="15">
        <v>4</v>
      </c>
      <c r="N228" s="15">
        <v>0</v>
      </c>
      <c r="O228" s="15">
        <v>34</v>
      </c>
      <c r="P228" s="15">
        <f>SUM(J228:O228)</f>
        <v>86</v>
      </c>
      <c r="Q228" s="15">
        <v>11</v>
      </c>
      <c r="R228" s="15">
        <v>3</v>
      </c>
      <c r="S228" s="15">
        <v>0</v>
      </c>
      <c r="T228" s="15">
        <v>0</v>
      </c>
      <c r="U228" s="15">
        <v>78</v>
      </c>
      <c r="V228" s="18"/>
      <c r="W228" s="18"/>
      <c r="X228" s="30"/>
      <c r="Y228" s="30"/>
      <c r="Z228" s="30"/>
      <c r="AA228" s="30"/>
      <c r="AB228" s="34"/>
      <c r="AC228" s="30"/>
      <c r="AD228" s="30"/>
      <c r="AE228" s="30"/>
      <c r="AF228" s="30"/>
      <c r="AG228" s="30"/>
      <c r="AH228" s="30"/>
      <c r="AI228" s="30"/>
      <c r="AJ228" s="30"/>
      <c r="AK228" s="30"/>
      <c r="AL228" s="30"/>
      <c r="AM228" s="30"/>
      <c r="AN228" s="30"/>
      <c r="AO228" s="30"/>
    </row>
    <row r="229" spans="1:41" s="39" customFormat="1" ht="15" customHeight="1">
      <c r="A229" s="32"/>
      <c r="B229" s="107"/>
      <c r="C229" s="21" t="s">
        <v>12</v>
      </c>
      <c r="D229" s="33"/>
      <c r="E229" s="23"/>
      <c r="F229" s="24">
        <f>SUM(F227:F228)</f>
        <v>77</v>
      </c>
      <c r="G229" s="24">
        <f>SUM(G227:G228)</f>
        <v>21</v>
      </c>
      <c r="H229" s="24">
        <f>SUM(H227:H228)</f>
        <v>2</v>
      </c>
      <c r="I229" s="40">
        <f>SUM(F229:H229)</f>
        <v>100</v>
      </c>
      <c r="J229" s="24">
        <f aca="true" t="shared" si="68" ref="J229:O229">SUM(J227:J228)</f>
        <v>22</v>
      </c>
      <c r="K229" s="24">
        <f t="shared" si="68"/>
        <v>9</v>
      </c>
      <c r="L229" s="24">
        <f t="shared" si="68"/>
        <v>17</v>
      </c>
      <c r="M229" s="24">
        <f t="shared" si="68"/>
        <v>4</v>
      </c>
      <c r="N229" s="24">
        <f t="shared" si="68"/>
        <v>0</v>
      </c>
      <c r="O229" s="24">
        <f t="shared" si="68"/>
        <v>34</v>
      </c>
      <c r="P229" s="24">
        <f>SUM(J229:O229)</f>
        <v>86</v>
      </c>
      <c r="Q229" s="24">
        <f>SUM(Q227:Q228)</f>
        <v>11</v>
      </c>
      <c r="R229" s="24">
        <f>SUM(R227:R228)</f>
        <v>3</v>
      </c>
      <c r="S229" s="24">
        <f>SUM(S227:S228)</f>
        <v>0</v>
      </c>
      <c r="T229" s="24">
        <f>SUM(T227:T228)</f>
        <v>0</v>
      </c>
      <c r="U229" s="24">
        <f>SUM(U227:U228)</f>
        <v>78</v>
      </c>
      <c r="V229" s="26">
        <f>IF(I229-Q229=0,"",IF(D229="",(P229+S229)/(I229-Q229),IF(AND(D229&lt;&gt;"",(P229+S229)/(I229-Q229)&gt;=50%),(P229+S229)/(I229-Q229),"")))</f>
        <v>0.9662921348314607</v>
      </c>
      <c r="W229" s="26">
        <f>IF(I229=O229,"",IF(V229="",0,(P229+Q229+S229-O229)/(I229-O229)))</f>
        <v>0.9545454545454546</v>
      </c>
      <c r="X229" s="30"/>
      <c r="Y229" s="30"/>
      <c r="Z229" s="30"/>
      <c r="AA229" s="30"/>
      <c r="AB229" s="34"/>
      <c r="AC229" s="30"/>
      <c r="AD229" s="30"/>
      <c r="AE229" s="30"/>
      <c r="AF229" s="30"/>
      <c r="AG229" s="30"/>
      <c r="AH229" s="30"/>
      <c r="AI229" s="30"/>
      <c r="AJ229" s="30"/>
      <c r="AK229" s="30"/>
      <c r="AL229" s="30"/>
      <c r="AM229" s="30"/>
      <c r="AN229" s="30"/>
      <c r="AO229" s="30"/>
    </row>
    <row r="230" spans="1:41" s="39" customFormat="1" ht="18.75" customHeight="1">
      <c r="A230" s="32"/>
      <c r="B230" s="107" t="s">
        <v>173</v>
      </c>
      <c r="C230" s="14" t="s">
        <v>161</v>
      </c>
      <c r="D230" s="15"/>
      <c r="E230" s="16" t="s">
        <v>27</v>
      </c>
      <c r="F230" s="15"/>
      <c r="G230" s="15"/>
      <c r="H230" s="15"/>
      <c r="I230" s="17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5"/>
      <c r="V230" s="18"/>
      <c r="W230" s="18"/>
      <c r="X230" s="30"/>
      <c r="Y230" s="30"/>
      <c r="Z230" s="30"/>
      <c r="AA230" s="30"/>
      <c r="AB230" s="34"/>
      <c r="AC230" s="30"/>
      <c r="AD230" s="30"/>
      <c r="AE230" s="30"/>
      <c r="AF230" s="30"/>
      <c r="AG230" s="30"/>
      <c r="AH230" s="30"/>
      <c r="AI230" s="30"/>
      <c r="AJ230" s="30"/>
      <c r="AK230" s="30"/>
      <c r="AL230" s="30"/>
      <c r="AM230" s="30"/>
      <c r="AN230" s="30"/>
      <c r="AO230" s="30"/>
    </row>
    <row r="231" spans="1:41" s="39" customFormat="1" ht="18.75" customHeight="1">
      <c r="A231" s="32">
        <v>14</v>
      </c>
      <c r="B231" s="107"/>
      <c r="C231" s="20" t="str">
        <f>IF(A231="","VARA",VLOOKUP(A231,'[1]varas'!$A$4:$B$67,2))</f>
        <v>14ª VT Recife</v>
      </c>
      <c r="D231" s="15"/>
      <c r="E231" s="16"/>
      <c r="F231" s="15">
        <f>49+42+16+9+2</f>
        <v>118</v>
      </c>
      <c r="G231" s="15">
        <v>5</v>
      </c>
      <c r="H231" s="15">
        <v>0</v>
      </c>
      <c r="I231" s="17">
        <f aca="true" t="shared" si="69" ref="I231:I236">SUM(F231:H231)</f>
        <v>123</v>
      </c>
      <c r="J231" s="15">
        <v>28</v>
      </c>
      <c r="K231" s="15">
        <v>11</v>
      </c>
      <c r="L231" s="15">
        <v>16</v>
      </c>
      <c r="M231" s="15">
        <v>9</v>
      </c>
      <c r="N231" s="15">
        <v>2</v>
      </c>
      <c r="O231" s="15">
        <v>42</v>
      </c>
      <c r="P231" s="15">
        <f aca="true" t="shared" si="70" ref="P231:P236">SUM(J231:O231)</f>
        <v>108</v>
      </c>
      <c r="Q231" s="15">
        <v>13</v>
      </c>
      <c r="R231" s="15">
        <v>0</v>
      </c>
      <c r="S231" s="15">
        <v>0</v>
      </c>
      <c r="T231" s="15">
        <v>2</v>
      </c>
      <c r="U231" s="15">
        <v>162</v>
      </c>
      <c r="V231" s="18"/>
      <c r="W231" s="18"/>
      <c r="X231" s="30"/>
      <c r="Y231" s="30"/>
      <c r="Z231" s="30"/>
      <c r="AA231" s="30"/>
      <c r="AB231" s="34"/>
      <c r="AC231" s="30"/>
      <c r="AD231" s="30"/>
      <c r="AE231" s="30"/>
      <c r="AF231" s="30"/>
      <c r="AG231" s="30"/>
      <c r="AH231" s="30"/>
      <c r="AI231" s="30"/>
      <c r="AJ231" s="30"/>
      <c r="AK231" s="30"/>
      <c r="AL231" s="30"/>
      <c r="AM231" s="30"/>
      <c r="AN231" s="30"/>
      <c r="AO231" s="30"/>
    </row>
    <row r="232" spans="1:41" s="39" customFormat="1" ht="18.75" customHeight="1">
      <c r="A232" s="32">
        <v>16</v>
      </c>
      <c r="B232" s="107"/>
      <c r="C232" s="20" t="str">
        <f>IF(A232="","VARA",VLOOKUP(A232,'[1]varas'!$A$4:$B$67,2))</f>
        <v>16ª VT Recife</v>
      </c>
      <c r="D232" s="15"/>
      <c r="E232" s="16"/>
      <c r="F232" s="15">
        <v>0</v>
      </c>
      <c r="G232" s="15">
        <v>1</v>
      </c>
      <c r="H232" s="15">
        <v>0</v>
      </c>
      <c r="I232" s="17">
        <f t="shared" si="69"/>
        <v>1</v>
      </c>
      <c r="J232" s="15">
        <v>1</v>
      </c>
      <c r="K232" s="15">
        <v>0</v>
      </c>
      <c r="L232" s="15">
        <v>0</v>
      </c>
      <c r="M232" s="15">
        <v>0</v>
      </c>
      <c r="N232" s="15">
        <v>0</v>
      </c>
      <c r="O232" s="15">
        <v>0</v>
      </c>
      <c r="P232" s="15">
        <f t="shared" si="70"/>
        <v>1</v>
      </c>
      <c r="Q232" s="15">
        <v>0</v>
      </c>
      <c r="R232" s="15">
        <v>0</v>
      </c>
      <c r="S232" s="15">
        <v>0</v>
      </c>
      <c r="T232" s="15">
        <v>0</v>
      </c>
      <c r="U232" s="15">
        <v>0</v>
      </c>
      <c r="V232" s="18"/>
      <c r="W232" s="18"/>
      <c r="X232" s="30"/>
      <c r="Y232" s="30"/>
      <c r="Z232" s="30"/>
      <c r="AA232" s="30"/>
      <c r="AB232" s="34"/>
      <c r="AC232" s="30"/>
      <c r="AD232" s="30"/>
      <c r="AE232" s="30"/>
      <c r="AF232" s="30"/>
      <c r="AG232" s="30"/>
      <c r="AH232" s="30"/>
      <c r="AI232" s="30"/>
      <c r="AJ232" s="30"/>
      <c r="AK232" s="30"/>
      <c r="AL232" s="30"/>
      <c r="AM232" s="30"/>
      <c r="AN232" s="30"/>
      <c r="AO232" s="30"/>
    </row>
    <row r="233" spans="1:41" s="39" customFormat="1" ht="18.75" customHeight="1">
      <c r="A233" s="32">
        <v>17</v>
      </c>
      <c r="B233" s="107"/>
      <c r="C233" s="20" t="str">
        <f>IF(A233="","VARA",VLOOKUP(A233,'[1]varas'!$A$4:$B$67,2))</f>
        <v>17ª VT Recife</v>
      </c>
      <c r="D233" s="15"/>
      <c r="E233" s="16"/>
      <c r="F233" s="15">
        <f>8+9+4</f>
        <v>21</v>
      </c>
      <c r="G233" s="15">
        <v>0</v>
      </c>
      <c r="H233" s="15">
        <v>0</v>
      </c>
      <c r="I233" s="17">
        <f t="shared" si="69"/>
        <v>21</v>
      </c>
      <c r="J233" s="15">
        <v>1</v>
      </c>
      <c r="K233" s="15">
        <v>1</v>
      </c>
      <c r="L233" s="15">
        <v>3</v>
      </c>
      <c r="M233" s="15">
        <v>1</v>
      </c>
      <c r="N233" s="15">
        <v>0</v>
      </c>
      <c r="O233" s="15">
        <v>9</v>
      </c>
      <c r="P233" s="15">
        <f t="shared" si="70"/>
        <v>15</v>
      </c>
      <c r="Q233" s="15">
        <v>6</v>
      </c>
      <c r="R233" s="15">
        <v>0</v>
      </c>
      <c r="S233" s="15">
        <v>0</v>
      </c>
      <c r="T233" s="15">
        <v>0</v>
      </c>
      <c r="U233" s="15">
        <v>33</v>
      </c>
      <c r="V233" s="18"/>
      <c r="W233" s="18"/>
      <c r="X233" s="30"/>
      <c r="Y233" s="30"/>
      <c r="Z233" s="30"/>
      <c r="AA233" s="30"/>
      <c r="AB233" s="34"/>
      <c r="AC233" s="30"/>
      <c r="AD233" s="30"/>
      <c r="AE233" s="30"/>
      <c r="AF233" s="30"/>
      <c r="AG233" s="30"/>
      <c r="AH233" s="30"/>
      <c r="AI233" s="30"/>
      <c r="AJ233" s="30"/>
      <c r="AK233" s="30"/>
      <c r="AL233" s="30"/>
      <c r="AM233" s="30"/>
      <c r="AN233" s="30"/>
      <c r="AO233" s="30"/>
    </row>
    <row r="234" spans="1:41" s="39" customFormat="1" ht="18.75" customHeight="1">
      <c r="A234" s="32">
        <v>18</v>
      </c>
      <c r="B234" s="107"/>
      <c r="C234" s="20" t="str">
        <f>IF(A234="","VARA",VLOOKUP(A234,'[1]varas'!$A$4:$B$67,2))</f>
        <v>18ª VT Recife</v>
      </c>
      <c r="D234" s="15"/>
      <c r="E234" s="16"/>
      <c r="F234" s="15">
        <v>0</v>
      </c>
      <c r="G234" s="15">
        <v>0</v>
      </c>
      <c r="H234" s="15">
        <v>1</v>
      </c>
      <c r="I234" s="17">
        <f t="shared" si="69"/>
        <v>1</v>
      </c>
      <c r="J234" s="15">
        <v>1</v>
      </c>
      <c r="K234" s="15">
        <v>0</v>
      </c>
      <c r="L234" s="15">
        <v>0</v>
      </c>
      <c r="M234" s="15">
        <v>0</v>
      </c>
      <c r="N234" s="15">
        <v>0</v>
      </c>
      <c r="O234" s="15">
        <v>0</v>
      </c>
      <c r="P234" s="15">
        <f t="shared" si="70"/>
        <v>1</v>
      </c>
      <c r="Q234" s="15">
        <v>0</v>
      </c>
      <c r="R234" s="15">
        <v>0</v>
      </c>
      <c r="S234" s="15">
        <v>0</v>
      </c>
      <c r="T234" s="15">
        <v>0</v>
      </c>
      <c r="U234" s="15">
        <v>0</v>
      </c>
      <c r="V234" s="18"/>
      <c r="W234" s="18"/>
      <c r="X234" s="30"/>
      <c r="Y234" s="30"/>
      <c r="Z234" s="30"/>
      <c r="AA234" s="30"/>
      <c r="AB234" s="34"/>
      <c r="AC234" s="30"/>
      <c r="AD234" s="30"/>
      <c r="AE234" s="30"/>
      <c r="AF234" s="30"/>
      <c r="AG234" s="30"/>
      <c r="AH234" s="30"/>
      <c r="AI234" s="30"/>
      <c r="AJ234" s="30"/>
      <c r="AK234" s="30"/>
      <c r="AL234" s="30"/>
      <c r="AM234" s="30"/>
      <c r="AN234" s="30"/>
      <c r="AO234" s="30"/>
    </row>
    <row r="235" spans="1:41" s="39" customFormat="1" ht="15.75" customHeight="1">
      <c r="A235" s="32">
        <v>48</v>
      </c>
      <c r="B235" s="107"/>
      <c r="C235" s="20" t="str">
        <f>IF(A235="","VARA",VLOOKUP(A235,'[1]varas'!$A$4:$B$67,2))</f>
        <v>VT Catende</v>
      </c>
      <c r="D235" s="15"/>
      <c r="E235" s="16"/>
      <c r="F235" s="15">
        <v>0</v>
      </c>
      <c r="G235" s="15">
        <v>0</v>
      </c>
      <c r="H235" s="15">
        <v>24</v>
      </c>
      <c r="I235" s="17">
        <f t="shared" si="69"/>
        <v>24</v>
      </c>
      <c r="J235" s="15">
        <v>24</v>
      </c>
      <c r="K235" s="15">
        <v>0</v>
      </c>
      <c r="L235" s="15">
        <v>0</v>
      </c>
      <c r="M235" s="15">
        <v>0</v>
      </c>
      <c r="N235" s="15">
        <v>0</v>
      </c>
      <c r="O235" s="15">
        <v>0</v>
      </c>
      <c r="P235" s="15">
        <f t="shared" si="70"/>
        <v>24</v>
      </c>
      <c r="Q235" s="15">
        <v>0</v>
      </c>
      <c r="R235" s="15">
        <v>0</v>
      </c>
      <c r="S235" s="15">
        <v>0</v>
      </c>
      <c r="T235" s="15">
        <v>0</v>
      </c>
      <c r="U235" s="15">
        <v>0</v>
      </c>
      <c r="V235" s="18"/>
      <c r="W235" s="18"/>
      <c r="X235" s="30"/>
      <c r="Y235" s="30"/>
      <c r="Z235" s="30"/>
      <c r="AA235" s="30"/>
      <c r="AB235" s="34"/>
      <c r="AC235" s="30"/>
      <c r="AD235" s="30"/>
      <c r="AE235" s="30"/>
      <c r="AF235" s="30"/>
      <c r="AG235" s="30"/>
      <c r="AH235" s="30"/>
      <c r="AI235" s="30"/>
      <c r="AJ235" s="30"/>
      <c r="AK235" s="30"/>
      <c r="AL235" s="30"/>
      <c r="AM235" s="30"/>
      <c r="AN235" s="30"/>
      <c r="AO235" s="30"/>
    </row>
    <row r="236" spans="1:41" s="53" customFormat="1" ht="19.5" customHeight="1">
      <c r="A236" s="47"/>
      <c r="B236" s="107"/>
      <c r="C236" s="20" t="s">
        <v>12</v>
      </c>
      <c r="D236" s="24"/>
      <c r="E236" s="48"/>
      <c r="F236" s="24">
        <f>SUM(F230:F235)</f>
        <v>139</v>
      </c>
      <c r="G236" s="24">
        <f>SUM(G230:G235)</f>
        <v>6</v>
      </c>
      <c r="H236" s="24">
        <f>SUM(H230:H235)</f>
        <v>25</v>
      </c>
      <c r="I236" s="40">
        <f t="shared" si="69"/>
        <v>170</v>
      </c>
      <c r="J236" s="24">
        <f aca="true" t="shared" si="71" ref="J236:O236">SUM(J230:J235)</f>
        <v>55</v>
      </c>
      <c r="K236" s="24">
        <f t="shared" si="71"/>
        <v>12</v>
      </c>
      <c r="L236" s="24">
        <f t="shared" si="71"/>
        <v>19</v>
      </c>
      <c r="M236" s="24">
        <f t="shared" si="71"/>
        <v>10</v>
      </c>
      <c r="N236" s="24">
        <f t="shared" si="71"/>
        <v>2</v>
      </c>
      <c r="O236" s="24">
        <f t="shared" si="71"/>
        <v>51</v>
      </c>
      <c r="P236" s="24">
        <f t="shared" si="70"/>
        <v>149</v>
      </c>
      <c r="Q236" s="24">
        <f>SUM(Q230:Q235)</f>
        <v>19</v>
      </c>
      <c r="R236" s="24">
        <f>SUM(R230:R235)</f>
        <v>0</v>
      </c>
      <c r="S236" s="24">
        <f>SUM(S230:S235)</f>
        <v>0</v>
      </c>
      <c r="T236" s="24">
        <f>SUM(T230:T235)</f>
        <v>2</v>
      </c>
      <c r="U236" s="24">
        <f>SUM(U230:U235)</f>
        <v>195</v>
      </c>
      <c r="V236" s="26">
        <f>IF(I236-Q236=0,"",IF(D236="",(P236+S236)/(I236-Q236),IF(AND(D236&lt;&gt;"",(P236+S236)/(I236-Q236)&gt;=50%),(P236+S236)/(I236-Q236),"")))</f>
        <v>0.9867549668874173</v>
      </c>
      <c r="W236" s="26">
        <f>IF(I236=O236,"",IF(V236="",0,(P236+Q236+S236-O236)/(I236-O236)))</f>
        <v>0.9831932773109243</v>
      </c>
      <c r="X236" s="49"/>
      <c r="Y236" s="49"/>
      <c r="Z236" s="49"/>
      <c r="AA236" s="49"/>
      <c r="AB236" s="50"/>
      <c r="AC236" s="49"/>
      <c r="AD236" s="49"/>
      <c r="AE236" s="49"/>
      <c r="AF236" s="49"/>
      <c r="AG236" s="49"/>
      <c r="AH236" s="49"/>
      <c r="AI236" s="49"/>
      <c r="AJ236" s="49"/>
      <c r="AK236" s="49"/>
      <c r="AL236" s="49"/>
      <c r="AM236" s="49"/>
      <c r="AN236" s="49"/>
      <c r="AO236" s="49"/>
    </row>
    <row r="237" spans="1:41" s="39" customFormat="1" ht="19.5" customHeight="1">
      <c r="A237" s="32"/>
      <c r="B237" s="107" t="s">
        <v>84</v>
      </c>
      <c r="C237" s="14" t="s">
        <v>164</v>
      </c>
      <c r="D237" s="29"/>
      <c r="E237" s="16" t="s">
        <v>27</v>
      </c>
      <c r="F237" s="15"/>
      <c r="G237" s="15"/>
      <c r="H237" s="15"/>
      <c r="I237" s="17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8"/>
      <c r="W237" s="18"/>
      <c r="X237" s="30"/>
      <c r="Y237" s="30"/>
      <c r="Z237" s="30"/>
      <c r="AA237" s="30"/>
      <c r="AB237" s="34"/>
      <c r="AC237" s="30"/>
      <c r="AD237" s="30"/>
      <c r="AE237" s="30"/>
      <c r="AF237" s="30"/>
      <c r="AG237" s="30"/>
      <c r="AH237" s="30"/>
      <c r="AI237" s="30"/>
      <c r="AJ237" s="30"/>
      <c r="AK237" s="30"/>
      <c r="AL237" s="30"/>
      <c r="AM237" s="30"/>
      <c r="AN237" s="30"/>
      <c r="AO237" s="30"/>
    </row>
    <row r="238" spans="1:41" s="39" customFormat="1" ht="18.75" customHeight="1">
      <c r="A238" s="32">
        <v>31</v>
      </c>
      <c r="B238" s="107"/>
      <c r="C238" s="20" t="str">
        <f>IF(A238="","VARA",VLOOKUP(A238,'[1]varas'!$A$4:$B$67,2))</f>
        <v>VT Igarassu</v>
      </c>
      <c r="D238" s="15"/>
      <c r="E238" s="16"/>
      <c r="F238" s="15">
        <f>41+56+12</f>
        <v>109</v>
      </c>
      <c r="G238" s="15">
        <v>0</v>
      </c>
      <c r="H238" s="15">
        <v>1</v>
      </c>
      <c r="I238" s="17">
        <f>SUM(F238:H238)</f>
        <v>110</v>
      </c>
      <c r="J238" s="15">
        <v>26</v>
      </c>
      <c r="K238" s="15">
        <v>15</v>
      </c>
      <c r="L238" s="15">
        <v>11</v>
      </c>
      <c r="M238" s="15">
        <v>1</v>
      </c>
      <c r="N238" s="15">
        <v>0</v>
      </c>
      <c r="O238" s="15">
        <v>56</v>
      </c>
      <c r="P238" s="15">
        <f>SUM(J238:O238)</f>
        <v>109</v>
      </c>
      <c r="Q238" s="15">
        <v>0</v>
      </c>
      <c r="R238" s="15">
        <v>1</v>
      </c>
      <c r="S238" s="15">
        <v>0</v>
      </c>
      <c r="T238" s="15">
        <v>0</v>
      </c>
      <c r="U238" s="15">
        <v>227</v>
      </c>
      <c r="V238" s="18"/>
      <c r="W238" s="18"/>
      <c r="X238" s="30"/>
      <c r="Y238" s="30"/>
      <c r="Z238" s="30"/>
      <c r="AA238" s="30"/>
      <c r="AB238" s="34"/>
      <c r="AC238" s="30"/>
      <c r="AD238" s="30"/>
      <c r="AE238" s="30"/>
      <c r="AF238" s="30"/>
      <c r="AG238" s="30"/>
      <c r="AH238" s="30"/>
      <c r="AI238" s="30"/>
      <c r="AJ238" s="30"/>
      <c r="AK238" s="30"/>
      <c r="AL238" s="30"/>
      <c r="AM238" s="30"/>
      <c r="AN238" s="30"/>
      <c r="AO238" s="30"/>
    </row>
    <row r="239" spans="1:41" s="39" customFormat="1" ht="18" customHeight="1">
      <c r="A239" s="32"/>
      <c r="B239" s="107"/>
      <c r="C239" s="21" t="s">
        <v>12</v>
      </c>
      <c r="D239" s="33"/>
      <c r="E239" s="23"/>
      <c r="F239" s="24">
        <f>SUM(F237:F238)</f>
        <v>109</v>
      </c>
      <c r="G239" s="24">
        <f>SUM(G237:G238)</f>
        <v>0</v>
      </c>
      <c r="H239" s="24">
        <f>SUM(H237:H238)</f>
        <v>1</v>
      </c>
      <c r="I239" s="40">
        <f>SUM(F239:H239)</f>
        <v>110</v>
      </c>
      <c r="J239" s="24">
        <f aca="true" t="shared" si="72" ref="J239:O239">SUM(J237:J238)</f>
        <v>26</v>
      </c>
      <c r="K239" s="24">
        <f t="shared" si="72"/>
        <v>15</v>
      </c>
      <c r="L239" s="24">
        <f t="shared" si="72"/>
        <v>11</v>
      </c>
      <c r="M239" s="24">
        <f t="shared" si="72"/>
        <v>1</v>
      </c>
      <c r="N239" s="24">
        <f t="shared" si="72"/>
        <v>0</v>
      </c>
      <c r="O239" s="24">
        <f t="shared" si="72"/>
        <v>56</v>
      </c>
      <c r="P239" s="24">
        <f>SUM(J239:O239)</f>
        <v>109</v>
      </c>
      <c r="Q239" s="24">
        <f>SUM(Q237:Q238)</f>
        <v>0</v>
      </c>
      <c r="R239" s="24">
        <f>SUM(R237:R238)</f>
        <v>1</v>
      </c>
      <c r="S239" s="24">
        <f>SUM(S237:S238)</f>
        <v>0</v>
      </c>
      <c r="T239" s="24">
        <f>SUM(T237:T238)</f>
        <v>0</v>
      </c>
      <c r="U239" s="24">
        <f>SUM(U237:U238)</f>
        <v>227</v>
      </c>
      <c r="V239" s="26">
        <f>IF(I239-Q239=0,"",IF(D239="",(P239+S239)/(I239-Q239),IF(AND(D239&lt;&gt;"",(P239+S239)/(I239-Q239)&gt;=50%),(P239+S239)/(I239-Q239),"")))</f>
        <v>0.990909090909091</v>
      </c>
      <c r="W239" s="26">
        <f>IF(I239=O239,"",IF(V239="",0,(P239+Q239+S239-O239)/(I239-O239)))</f>
        <v>0.9814814814814815</v>
      </c>
      <c r="X239" s="30"/>
      <c r="Y239" s="30"/>
      <c r="Z239" s="30"/>
      <c r="AA239" s="30"/>
      <c r="AB239" s="34"/>
      <c r="AC239" s="30"/>
      <c r="AD239" s="30"/>
      <c r="AE239" s="30"/>
      <c r="AF239" s="30"/>
      <c r="AG239" s="30"/>
      <c r="AH239" s="30"/>
      <c r="AI239" s="30"/>
      <c r="AJ239" s="30"/>
      <c r="AK239" s="30"/>
      <c r="AL239" s="30"/>
      <c r="AM239" s="30"/>
      <c r="AN239" s="30"/>
      <c r="AO239" s="30"/>
    </row>
    <row r="240" spans="1:41" s="39" customFormat="1" ht="21" customHeight="1">
      <c r="A240" s="32"/>
      <c r="B240" s="107" t="s">
        <v>85</v>
      </c>
      <c r="C240" s="14" t="s">
        <v>2</v>
      </c>
      <c r="D240" s="29"/>
      <c r="E240" s="16" t="s">
        <v>27</v>
      </c>
      <c r="F240" s="15"/>
      <c r="G240" s="15"/>
      <c r="H240" s="15"/>
      <c r="I240" s="17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  <c r="U240" s="15"/>
      <c r="V240" s="18"/>
      <c r="W240" s="18"/>
      <c r="X240" s="30"/>
      <c r="Y240" s="30"/>
      <c r="Z240" s="30"/>
      <c r="AA240" s="30"/>
      <c r="AB240" s="34"/>
      <c r="AC240" s="30"/>
      <c r="AD240" s="30"/>
      <c r="AE240" s="30"/>
      <c r="AF240" s="30"/>
      <c r="AG240" s="30"/>
      <c r="AH240" s="30"/>
      <c r="AI240" s="30"/>
      <c r="AJ240" s="30"/>
      <c r="AK240" s="30"/>
      <c r="AL240" s="30"/>
      <c r="AM240" s="30"/>
      <c r="AN240" s="30"/>
      <c r="AO240" s="30"/>
    </row>
    <row r="241" spans="1:41" s="39" customFormat="1" ht="18.75" customHeight="1">
      <c r="A241" s="32">
        <v>13</v>
      </c>
      <c r="B241" s="107"/>
      <c r="C241" s="20" t="str">
        <f>IF(A241="","VARA",VLOOKUP(A241,'[1]varas'!$A$4:$B$67,2))</f>
        <v>13ª VT Recife</v>
      </c>
      <c r="D241" s="15"/>
      <c r="E241" s="16"/>
      <c r="F241" s="15">
        <f>69+52+27+8</f>
        <v>156</v>
      </c>
      <c r="G241" s="15">
        <v>10</v>
      </c>
      <c r="H241" s="15">
        <v>12</v>
      </c>
      <c r="I241" s="17">
        <f>SUM(F241:H241)</f>
        <v>178</v>
      </c>
      <c r="J241" s="15">
        <v>19</v>
      </c>
      <c r="K241" s="15">
        <v>10</v>
      </c>
      <c r="L241" s="15">
        <v>27</v>
      </c>
      <c r="M241" s="15">
        <v>8</v>
      </c>
      <c r="N241" s="15">
        <v>0</v>
      </c>
      <c r="O241" s="15">
        <v>52</v>
      </c>
      <c r="P241" s="15">
        <f>SUM(J241:O241)</f>
        <v>116</v>
      </c>
      <c r="Q241" s="15">
        <v>21</v>
      </c>
      <c r="R241" s="15">
        <v>41</v>
      </c>
      <c r="S241" s="15">
        <v>0</v>
      </c>
      <c r="T241" s="15">
        <v>0</v>
      </c>
      <c r="U241" s="15">
        <v>273</v>
      </c>
      <c r="V241" s="18"/>
      <c r="W241" s="18"/>
      <c r="X241" s="30"/>
      <c r="Y241" s="30"/>
      <c r="Z241" s="30"/>
      <c r="AA241" s="30"/>
      <c r="AB241" s="34"/>
      <c r="AC241" s="30"/>
      <c r="AD241" s="30"/>
      <c r="AE241" s="30"/>
      <c r="AF241" s="30"/>
      <c r="AG241" s="30"/>
      <c r="AH241" s="30"/>
      <c r="AI241" s="30"/>
      <c r="AJ241" s="30"/>
      <c r="AK241" s="30"/>
      <c r="AL241" s="30"/>
      <c r="AM241" s="30"/>
      <c r="AN241" s="30"/>
      <c r="AO241" s="30"/>
    </row>
    <row r="242" spans="1:41" s="53" customFormat="1" ht="18.75" customHeight="1">
      <c r="A242" s="47"/>
      <c r="B242" s="107"/>
      <c r="C242" s="21" t="s">
        <v>12</v>
      </c>
      <c r="D242" s="51"/>
      <c r="E242" s="52"/>
      <c r="F242" s="24">
        <f>SUM(F240:F241)</f>
        <v>156</v>
      </c>
      <c r="G242" s="24">
        <f>SUM(G240:G241)</f>
        <v>10</v>
      </c>
      <c r="H242" s="24">
        <f>SUM(H240:H241)</f>
        <v>12</v>
      </c>
      <c r="I242" s="25">
        <f>SUM(F242:H242)</f>
        <v>178</v>
      </c>
      <c r="J242" s="24">
        <f aca="true" t="shared" si="73" ref="J242:O242">SUM(J240:J241)</f>
        <v>19</v>
      </c>
      <c r="K242" s="24">
        <f t="shared" si="73"/>
        <v>10</v>
      </c>
      <c r="L242" s="24">
        <f t="shared" si="73"/>
        <v>27</v>
      </c>
      <c r="M242" s="24">
        <f t="shared" si="73"/>
        <v>8</v>
      </c>
      <c r="N242" s="24">
        <f t="shared" si="73"/>
        <v>0</v>
      </c>
      <c r="O242" s="24">
        <f t="shared" si="73"/>
        <v>52</v>
      </c>
      <c r="P242" s="24">
        <f>SUM(J242:O242)</f>
        <v>116</v>
      </c>
      <c r="Q242" s="24">
        <f>SUM(Q240:Q241)</f>
        <v>21</v>
      </c>
      <c r="R242" s="24">
        <f>SUM(R240:R241)</f>
        <v>41</v>
      </c>
      <c r="S242" s="24">
        <f>SUM(S240:S241)</f>
        <v>0</v>
      </c>
      <c r="T242" s="24">
        <f>SUM(T240:T241)</f>
        <v>0</v>
      </c>
      <c r="U242" s="24">
        <f>SUM(U240:U241)</f>
        <v>273</v>
      </c>
      <c r="V242" s="26">
        <f>IF(I242-Q242=0,"",IF(D242="",(P242+S242)/(I242-Q242),IF(AND(D242&lt;&gt;"",(P242+S242)/(I242-Q242)&gt;=50%),(P242+S242)/(I242-Q242),"")))</f>
        <v>0.7388535031847133</v>
      </c>
      <c r="W242" s="26">
        <f>IF(I242=O242,"",IF(V242="",0,(P242+Q242+S242-O242)/(I242-O242)))</f>
        <v>0.6746031746031746</v>
      </c>
      <c r="X242" s="49"/>
      <c r="Y242" s="49"/>
      <c r="Z242" s="49"/>
      <c r="AA242" s="49"/>
      <c r="AB242" s="50"/>
      <c r="AC242" s="49"/>
      <c r="AD242" s="49"/>
      <c r="AE242" s="49"/>
      <c r="AF242" s="49"/>
      <c r="AG242" s="49"/>
      <c r="AH242" s="49"/>
      <c r="AI242" s="49"/>
      <c r="AJ242" s="49"/>
      <c r="AK242" s="49"/>
      <c r="AL242" s="49"/>
      <c r="AM242" s="49"/>
      <c r="AN242" s="49"/>
      <c r="AO242" s="49"/>
    </row>
    <row r="243" spans="1:41" s="39" customFormat="1" ht="18.75" customHeight="1">
      <c r="A243" s="32"/>
      <c r="B243" s="107" t="s">
        <v>86</v>
      </c>
      <c r="C243" s="14" t="s">
        <v>2</v>
      </c>
      <c r="D243" s="29"/>
      <c r="E243" s="16" t="s">
        <v>27</v>
      </c>
      <c r="F243" s="15"/>
      <c r="G243" s="15"/>
      <c r="H243" s="15"/>
      <c r="I243" s="17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/>
      <c r="U243" s="15"/>
      <c r="V243" s="18"/>
      <c r="W243" s="18"/>
      <c r="X243" s="30"/>
      <c r="Y243" s="30"/>
      <c r="Z243" s="30"/>
      <c r="AA243" s="30"/>
      <c r="AB243" s="34"/>
      <c r="AC243" s="30"/>
      <c r="AD243" s="30"/>
      <c r="AE243" s="30"/>
      <c r="AF243" s="30"/>
      <c r="AG243" s="30"/>
      <c r="AH243" s="30"/>
      <c r="AI243" s="30"/>
      <c r="AJ243" s="30"/>
      <c r="AK243" s="30"/>
      <c r="AL243" s="30"/>
      <c r="AM243" s="30"/>
      <c r="AN243" s="30"/>
      <c r="AO243" s="30"/>
    </row>
    <row r="244" spans="1:41" s="39" customFormat="1" ht="18.75" customHeight="1">
      <c r="A244" s="32">
        <v>14</v>
      </c>
      <c r="B244" s="107"/>
      <c r="C244" s="20" t="str">
        <f>IF(A244="","VARA",VLOOKUP(A244,'[1]varas'!$A$4:$B$67,2))</f>
        <v>14ª VT Recife</v>
      </c>
      <c r="D244" s="15"/>
      <c r="E244" s="16"/>
      <c r="F244" s="15">
        <v>0</v>
      </c>
      <c r="G244" s="15">
        <v>10</v>
      </c>
      <c r="H244" s="15">
        <v>11</v>
      </c>
      <c r="I244" s="17">
        <f>SUM(F244:H244)</f>
        <v>21</v>
      </c>
      <c r="J244" s="15">
        <v>0</v>
      </c>
      <c r="K244" s="15">
        <v>0</v>
      </c>
      <c r="L244" s="15">
        <v>0</v>
      </c>
      <c r="M244" s="15">
        <v>0</v>
      </c>
      <c r="N244" s="15">
        <v>0</v>
      </c>
      <c r="O244" s="15">
        <v>0</v>
      </c>
      <c r="P244" s="15">
        <f>SUM(J244:O244)</f>
        <v>0</v>
      </c>
      <c r="Q244" s="15">
        <v>0</v>
      </c>
      <c r="R244" s="15">
        <v>21</v>
      </c>
      <c r="S244" s="15">
        <v>0</v>
      </c>
      <c r="T244" s="15">
        <v>0</v>
      </c>
      <c r="U244" s="15">
        <v>0</v>
      </c>
      <c r="V244" s="18"/>
      <c r="W244" s="18"/>
      <c r="X244" s="30"/>
      <c r="Y244" s="30"/>
      <c r="Z244" s="30"/>
      <c r="AA244" s="30"/>
      <c r="AB244" s="34"/>
      <c r="AC244" s="30"/>
      <c r="AD244" s="30"/>
      <c r="AE244" s="30"/>
      <c r="AF244" s="30"/>
      <c r="AG244" s="30"/>
      <c r="AH244" s="30"/>
      <c r="AI244" s="30"/>
      <c r="AJ244" s="30"/>
      <c r="AK244" s="30"/>
      <c r="AL244" s="30"/>
      <c r="AM244" s="30"/>
      <c r="AN244" s="30"/>
      <c r="AO244" s="30"/>
    </row>
    <row r="245" spans="1:41" s="39" customFormat="1" ht="15.75" customHeight="1">
      <c r="A245" s="32">
        <v>35</v>
      </c>
      <c r="B245" s="107"/>
      <c r="C245" s="20" t="str">
        <f>IF(A245="","VARA",VLOOKUP(A245,'[1]varas'!$A$4:$B$67,2))</f>
        <v>2ª VT Jaboatão</v>
      </c>
      <c r="D245" s="15"/>
      <c r="E245" s="16"/>
      <c r="F245" s="15">
        <f>62+56+6+9</f>
        <v>133</v>
      </c>
      <c r="G245" s="15">
        <v>5</v>
      </c>
      <c r="H245" s="15">
        <v>0</v>
      </c>
      <c r="I245" s="17">
        <f>SUM(F245:H245)</f>
        <v>138</v>
      </c>
      <c r="J245" s="15">
        <v>32</v>
      </c>
      <c r="K245" s="15">
        <v>20</v>
      </c>
      <c r="L245" s="15">
        <v>6</v>
      </c>
      <c r="M245" s="15">
        <v>7</v>
      </c>
      <c r="N245" s="15">
        <v>2</v>
      </c>
      <c r="O245" s="15">
        <v>56</v>
      </c>
      <c r="P245" s="15">
        <f>SUM(J245:O245)</f>
        <v>123</v>
      </c>
      <c r="Q245" s="15">
        <v>10</v>
      </c>
      <c r="R245" s="15">
        <v>4</v>
      </c>
      <c r="S245" s="15">
        <v>0</v>
      </c>
      <c r="T245" s="15">
        <v>1</v>
      </c>
      <c r="U245" s="15">
        <v>288</v>
      </c>
      <c r="V245" s="18"/>
      <c r="W245" s="18"/>
      <c r="X245" s="30"/>
      <c r="Y245" s="30"/>
      <c r="Z245" s="30"/>
      <c r="AA245" s="30"/>
      <c r="AB245" s="34"/>
      <c r="AC245" s="30"/>
      <c r="AD245" s="30"/>
      <c r="AE245" s="30"/>
      <c r="AF245" s="30"/>
      <c r="AG245" s="30"/>
      <c r="AH245" s="30"/>
      <c r="AI245" s="30"/>
      <c r="AJ245" s="30"/>
      <c r="AK245" s="30"/>
      <c r="AL245" s="30"/>
      <c r="AM245" s="30"/>
      <c r="AN245" s="30"/>
      <c r="AO245" s="30"/>
    </row>
    <row r="246" spans="1:41" s="39" customFormat="1" ht="20.25" customHeight="1">
      <c r="A246" s="32"/>
      <c r="B246" s="107"/>
      <c r="C246" s="21" t="s">
        <v>12</v>
      </c>
      <c r="D246" s="33"/>
      <c r="E246" s="23"/>
      <c r="F246" s="24">
        <f>SUM(F243:F245)</f>
        <v>133</v>
      </c>
      <c r="G246" s="24">
        <f>SUM(G243:G245)</f>
        <v>15</v>
      </c>
      <c r="H246" s="24">
        <f>SUM(H243:H245)</f>
        <v>11</v>
      </c>
      <c r="I246" s="40">
        <f>SUM(F246:H246)</f>
        <v>159</v>
      </c>
      <c r="J246" s="24">
        <f aca="true" t="shared" si="74" ref="J246:O246">SUM(J243:J245)</f>
        <v>32</v>
      </c>
      <c r="K246" s="24">
        <f t="shared" si="74"/>
        <v>20</v>
      </c>
      <c r="L246" s="24">
        <f t="shared" si="74"/>
        <v>6</v>
      </c>
      <c r="M246" s="24">
        <f t="shared" si="74"/>
        <v>7</v>
      </c>
      <c r="N246" s="24">
        <f t="shared" si="74"/>
        <v>2</v>
      </c>
      <c r="O246" s="24">
        <f t="shared" si="74"/>
        <v>56</v>
      </c>
      <c r="P246" s="24">
        <f>SUM(J246:O246)</f>
        <v>123</v>
      </c>
      <c r="Q246" s="24">
        <f>SUM(Q243:Q245)</f>
        <v>10</v>
      </c>
      <c r="R246" s="24">
        <f>SUM(R243:R245)</f>
        <v>25</v>
      </c>
      <c r="S246" s="24">
        <f>SUM(S243:S245)</f>
        <v>0</v>
      </c>
      <c r="T246" s="24">
        <f>SUM(T243:T245)</f>
        <v>1</v>
      </c>
      <c r="U246" s="24">
        <f>SUM(U243:U245)</f>
        <v>288</v>
      </c>
      <c r="V246" s="26">
        <f>IF(I246-Q246=0,"",IF(D246="",(P246+S246)/(I246-Q246),IF(AND(D246&lt;&gt;"",(P246+S246)/(I246-Q246)&gt;=50%),(P246+S246)/(I246-Q246),"")))</f>
        <v>0.825503355704698</v>
      </c>
      <c r="W246" s="26">
        <f>IF(I246=O246,"",IF(V246="",0,(P246+Q246+S246-O246)/(I246-O246)))</f>
        <v>0.7475728155339806</v>
      </c>
      <c r="X246" s="30"/>
      <c r="Y246" s="30"/>
      <c r="Z246" s="30"/>
      <c r="AA246" s="30"/>
      <c r="AB246" s="34"/>
      <c r="AC246" s="30"/>
      <c r="AD246" s="30"/>
      <c r="AE246" s="30"/>
      <c r="AF246" s="30"/>
      <c r="AG246" s="30"/>
      <c r="AH246" s="30"/>
      <c r="AI246" s="30"/>
      <c r="AJ246" s="30"/>
      <c r="AK246" s="30"/>
      <c r="AL246" s="30"/>
      <c r="AM246" s="30"/>
      <c r="AN246" s="30"/>
      <c r="AO246" s="30"/>
    </row>
    <row r="247" spans="1:41" s="39" customFormat="1" ht="19.5" customHeight="1">
      <c r="A247" s="32"/>
      <c r="B247" s="107" t="s">
        <v>87</v>
      </c>
      <c r="C247" s="14" t="s">
        <v>2</v>
      </c>
      <c r="D247" s="15"/>
      <c r="E247" s="16" t="s">
        <v>27</v>
      </c>
      <c r="F247" s="15"/>
      <c r="G247" s="15"/>
      <c r="H247" s="15"/>
      <c r="I247" s="17"/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15"/>
      <c r="U247" s="15"/>
      <c r="V247" s="18"/>
      <c r="W247" s="18"/>
      <c r="X247" s="30"/>
      <c r="Y247" s="30"/>
      <c r="Z247" s="30"/>
      <c r="AA247" s="30"/>
      <c r="AB247" s="34"/>
      <c r="AC247" s="30"/>
      <c r="AD247" s="30"/>
      <c r="AE247" s="30"/>
      <c r="AF247" s="30"/>
      <c r="AG247" s="30"/>
      <c r="AH247" s="30"/>
      <c r="AI247" s="30"/>
      <c r="AJ247" s="30"/>
      <c r="AK247" s="30"/>
      <c r="AL247" s="30"/>
      <c r="AM247" s="30"/>
      <c r="AN247" s="30"/>
      <c r="AO247" s="30"/>
    </row>
    <row r="248" spans="1:41" s="39" customFormat="1" ht="14.25" customHeight="1">
      <c r="A248" s="32">
        <v>28</v>
      </c>
      <c r="B248" s="107"/>
      <c r="C248" s="20" t="str">
        <f>IF(A248="","VARA",VLOOKUP(A248,'[1]varas'!$A$4:$B$67,2))</f>
        <v>1ª VT Caruaru</v>
      </c>
      <c r="D248" s="15"/>
      <c r="E248" s="16"/>
      <c r="F248" s="15">
        <f>11+6+2</f>
        <v>19</v>
      </c>
      <c r="G248" s="15">
        <v>0</v>
      </c>
      <c r="H248" s="15">
        <v>0</v>
      </c>
      <c r="I248" s="17">
        <f>SUM(F248:H248)</f>
        <v>19</v>
      </c>
      <c r="J248" s="15">
        <v>11</v>
      </c>
      <c r="K248" s="15">
        <v>0</v>
      </c>
      <c r="L248" s="15">
        <v>2</v>
      </c>
      <c r="M248" s="15">
        <v>0</v>
      </c>
      <c r="N248" s="15">
        <v>0</v>
      </c>
      <c r="O248" s="15">
        <v>6</v>
      </c>
      <c r="P248" s="15">
        <f>SUM(J248:O248)</f>
        <v>19</v>
      </c>
      <c r="Q248" s="15">
        <v>0</v>
      </c>
      <c r="R248" s="15">
        <v>0</v>
      </c>
      <c r="S248" s="15">
        <v>0</v>
      </c>
      <c r="T248" s="15">
        <v>0</v>
      </c>
      <c r="U248" s="15">
        <v>32</v>
      </c>
      <c r="V248" s="18"/>
      <c r="W248" s="18"/>
      <c r="X248" s="30"/>
      <c r="Y248" s="30"/>
      <c r="Z248" s="30"/>
      <c r="AA248" s="30"/>
      <c r="AB248" s="34"/>
      <c r="AC248" s="30"/>
      <c r="AD248" s="30"/>
      <c r="AE248" s="30"/>
      <c r="AF248" s="30"/>
      <c r="AG248" s="30"/>
      <c r="AH248" s="30"/>
      <c r="AI248" s="30"/>
      <c r="AJ248" s="30"/>
      <c r="AK248" s="30"/>
      <c r="AL248" s="30"/>
      <c r="AM248" s="30"/>
      <c r="AN248" s="30"/>
      <c r="AO248" s="30"/>
    </row>
    <row r="249" spans="1:41" s="39" customFormat="1" ht="17.25" customHeight="1">
      <c r="A249" s="32">
        <v>29</v>
      </c>
      <c r="B249" s="107"/>
      <c r="C249" s="20" t="str">
        <f>IF(A249="","VARA",VLOOKUP(A249,'[1]varas'!$A$4:$B$67,2))</f>
        <v>2ª VT Caruaru</v>
      </c>
      <c r="D249" s="15"/>
      <c r="E249" s="16"/>
      <c r="F249" s="15">
        <f>21+83+5+1</f>
        <v>110</v>
      </c>
      <c r="G249" s="15">
        <v>6</v>
      </c>
      <c r="H249" s="15">
        <v>0</v>
      </c>
      <c r="I249" s="17">
        <f>SUM(F249:H249)</f>
        <v>116</v>
      </c>
      <c r="J249" s="15">
        <v>22</v>
      </c>
      <c r="K249" s="15">
        <v>5</v>
      </c>
      <c r="L249" s="15">
        <v>5</v>
      </c>
      <c r="M249" s="15">
        <v>1</v>
      </c>
      <c r="N249" s="15">
        <v>0</v>
      </c>
      <c r="O249" s="15">
        <v>83</v>
      </c>
      <c r="P249" s="15">
        <f>SUM(J249:O249)</f>
        <v>116</v>
      </c>
      <c r="Q249" s="15">
        <v>0</v>
      </c>
      <c r="R249" s="15">
        <v>0</v>
      </c>
      <c r="S249" s="15">
        <v>0</v>
      </c>
      <c r="T249" s="15">
        <v>0</v>
      </c>
      <c r="U249" s="15">
        <v>114</v>
      </c>
      <c r="V249" s="18"/>
      <c r="W249" s="18"/>
      <c r="X249" s="30"/>
      <c r="Y249" s="30"/>
      <c r="Z249" s="30"/>
      <c r="AA249" s="30"/>
      <c r="AB249" s="34"/>
      <c r="AC249" s="30"/>
      <c r="AD249" s="30"/>
      <c r="AE249" s="30"/>
      <c r="AF249" s="30"/>
      <c r="AG249" s="30"/>
      <c r="AH249" s="30"/>
      <c r="AI249" s="30"/>
      <c r="AJ249" s="30"/>
      <c r="AK249" s="30"/>
      <c r="AL249" s="30"/>
      <c r="AM249" s="30"/>
      <c r="AN249" s="30"/>
      <c r="AO249" s="30"/>
    </row>
    <row r="250" spans="1:41" s="39" customFormat="1" ht="18.75" customHeight="1">
      <c r="A250" s="32">
        <v>30</v>
      </c>
      <c r="B250" s="107"/>
      <c r="C250" s="20" t="str">
        <f>IF(A250="","VARA",VLOOKUP(A250,'[1]varas'!$A$4:$B$67,2))</f>
        <v>3ª VT Caruaru</v>
      </c>
      <c r="D250" s="15"/>
      <c r="E250" s="16"/>
      <c r="F250" s="15">
        <f>8+23+0</f>
        <v>31</v>
      </c>
      <c r="G250" s="15">
        <v>2</v>
      </c>
      <c r="H250" s="15">
        <v>0</v>
      </c>
      <c r="I250" s="17">
        <f>SUM(F250:H250)</f>
        <v>33</v>
      </c>
      <c r="J250" s="15">
        <v>8</v>
      </c>
      <c r="K250" s="15">
        <v>2</v>
      </c>
      <c r="L250" s="15">
        <v>0</v>
      </c>
      <c r="M250" s="15">
        <v>0</v>
      </c>
      <c r="N250" s="15">
        <v>0</v>
      </c>
      <c r="O250" s="15">
        <v>23</v>
      </c>
      <c r="P250" s="15">
        <f>SUM(J250:O250)</f>
        <v>33</v>
      </c>
      <c r="Q250" s="15">
        <v>0</v>
      </c>
      <c r="R250" s="15">
        <v>0</v>
      </c>
      <c r="S250" s="15">
        <v>0</v>
      </c>
      <c r="T250" s="15">
        <v>0</v>
      </c>
      <c r="U250" s="15">
        <v>83</v>
      </c>
      <c r="V250" s="18"/>
      <c r="W250" s="18"/>
      <c r="X250" s="30"/>
      <c r="Y250" s="30"/>
      <c r="Z250" s="30"/>
      <c r="AA250" s="30"/>
      <c r="AB250" s="34"/>
      <c r="AC250" s="30"/>
      <c r="AD250" s="30"/>
      <c r="AE250" s="30"/>
      <c r="AF250" s="30"/>
      <c r="AG250" s="30"/>
      <c r="AH250" s="30"/>
      <c r="AI250" s="30"/>
      <c r="AJ250" s="30"/>
      <c r="AK250" s="30"/>
      <c r="AL250" s="30"/>
      <c r="AM250" s="30"/>
      <c r="AN250" s="30"/>
      <c r="AO250" s="30"/>
    </row>
    <row r="251" spans="1:41" s="53" customFormat="1" ht="15.75" customHeight="1">
      <c r="A251" s="47"/>
      <c r="B251" s="107"/>
      <c r="C251" s="20" t="s">
        <v>12</v>
      </c>
      <c r="D251" s="24"/>
      <c r="E251" s="48"/>
      <c r="F251" s="24">
        <f>SUM(F247:F250)</f>
        <v>160</v>
      </c>
      <c r="G251" s="24">
        <f>SUM(G247:G250)</f>
        <v>8</v>
      </c>
      <c r="H251" s="24">
        <f>SUM(H247:H250)</f>
        <v>0</v>
      </c>
      <c r="I251" s="40">
        <f>SUM(F251:H251)</f>
        <v>168</v>
      </c>
      <c r="J251" s="24">
        <f aca="true" t="shared" si="75" ref="J251:O251">SUM(J247:J250)</f>
        <v>41</v>
      </c>
      <c r="K251" s="24">
        <f t="shared" si="75"/>
        <v>7</v>
      </c>
      <c r="L251" s="24">
        <f t="shared" si="75"/>
        <v>7</v>
      </c>
      <c r="M251" s="24">
        <f t="shared" si="75"/>
        <v>1</v>
      </c>
      <c r="N251" s="24">
        <f t="shared" si="75"/>
        <v>0</v>
      </c>
      <c r="O251" s="24">
        <f t="shared" si="75"/>
        <v>112</v>
      </c>
      <c r="P251" s="24">
        <f>SUM(J251:O251)</f>
        <v>168</v>
      </c>
      <c r="Q251" s="24">
        <f>SUM(Q247:Q250)</f>
        <v>0</v>
      </c>
      <c r="R251" s="24">
        <f>SUM(R247:R250)</f>
        <v>0</v>
      </c>
      <c r="S251" s="24">
        <f>SUM(S247:S250)</f>
        <v>0</v>
      </c>
      <c r="T251" s="24">
        <f>SUM(T247:T250)</f>
        <v>0</v>
      </c>
      <c r="U251" s="24">
        <f>SUM(U247:U250)</f>
        <v>229</v>
      </c>
      <c r="V251" s="26">
        <f>IF(I251-Q251=0,"",IF(D251="",(P251+S251)/(I251-Q251),IF(AND(D251&lt;&gt;"",(P251+S251)/(I251-Q251)&gt;=50%),(P251+S251)/(I251-Q251),"")))</f>
        <v>1</v>
      </c>
      <c r="W251" s="26">
        <f>IF(I251=O251,"",IF(V251="",0,(P251+Q251+S251-O251)/(I251-O251)))</f>
        <v>1</v>
      </c>
      <c r="X251" s="49"/>
      <c r="Y251" s="49"/>
      <c r="Z251" s="49"/>
      <c r="AA251" s="49"/>
      <c r="AB251" s="50"/>
      <c r="AC251" s="49"/>
      <c r="AD251" s="49"/>
      <c r="AE251" s="49"/>
      <c r="AF251" s="49"/>
      <c r="AG251" s="49"/>
      <c r="AH251" s="49"/>
      <c r="AI251" s="49"/>
      <c r="AJ251" s="49"/>
      <c r="AK251" s="49"/>
      <c r="AL251" s="49"/>
      <c r="AM251" s="49"/>
      <c r="AN251" s="49"/>
      <c r="AO251" s="49"/>
    </row>
    <row r="252" spans="1:41" s="39" customFormat="1" ht="17.25" customHeight="1">
      <c r="A252" s="32"/>
      <c r="B252" s="107" t="s">
        <v>88</v>
      </c>
      <c r="C252" s="14" t="s">
        <v>164</v>
      </c>
      <c r="D252" s="29"/>
      <c r="E252" s="16" t="s">
        <v>27</v>
      </c>
      <c r="F252" s="15"/>
      <c r="G252" s="15"/>
      <c r="H252" s="15"/>
      <c r="I252" s="17"/>
      <c r="J252" s="15"/>
      <c r="K252" s="15"/>
      <c r="L252" s="15"/>
      <c r="M252" s="15"/>
      <c r="N252" s="15"/>
      <c r="O252" s="15"/>
      <c r="P252" s="15"/>
      <c r="Q252" s="15"/>
      <c r="R252" s="15"/>
      <c r="S252" s="15"/>
      <c r="T252" s="15"/>
      <c r="U252" s="15"/>
      <c r="V252" s="18"/>
      <c r="W252" s="18"/>
      <c r="X252" s="30"/>
      <c r="Y252" s="30"/>
      <c r="Z252" s="30"/>
      <c r="AA252" s="30"/>
      <c r="AB252" s="34"/>
      <c r="AC252" s="30"/>
      <c r="AD252" s="30"/>
      <c r="AE252" s="30"/>
      <c r="AF252" s="30"/>
      <c r="AG252" s="30"/>
      <c r="AH252" s="30"/>
      <c r="AI252" s="30"/>
      <c r="AJ252" s="30"/>
      <c r="AK252" s="30"/>
      <c r="AL252" s="30"/>
      <c r="AM252" s="30"/>
      <c r="AN252" s="30"/>
      <c r="AO252" s="30"/>
    </row>
    <row r="253" spans="1:41" s="39" customFormat="1" ht="18" customHeight="1">
      <c r="A253" s="32">
        <v>61</v>
      </c>
      <c r="B253" s="107"/>
      <c r="C253" s="20" t="str">
        <f>IF(A253="","VARA",VLOOKUP(A253,'[1]varas'!$A$4:$B$67,2))</f>
        <v>VT Vitória</v>
      </c>
      <c r="D253" s="15"/>
      <c r="E253" s="16"/>
      <c r="F253" s="15">
        <f>53+33+2</f>
        <v>88</v>
      </c>
      <c r="G253" s="15">
        <v>9</v>
      </c>
      <c r="H253" s="15">
        <v>0</v>
      </c>
      <c r="I253" s="17">
        <f>SUM(F253:H253)</f>
        <v>97</v>
      </c>
      <c r="J253" s="15">
        <v>38</v>
      </c>
      <c r="K253" s="15">
        <v>12</v>
      </c>
      <c r="L253" s="15">
        <v>2</v>
      </c>
      <c r="M253" s="15">
        <v>6</v>
      </c>
      <c r="N253" s="15">
        <v>1</v>
      </c>
      <c r="O253" s="15">
        <v>33</v>
      </c>
      <c r="P253" s="15">
        <f>SUM(J253:O253)</f>
        <v>92</v>
      </c>
      <c r="Q253" s="15">
        <v>5</v>
      </c>
      <c r="R253" s="15">
        <v>0</v>
      </c>
      <c r="S253" s="15">
        <v>0</v>
      </c>
      <c r="T253" s="15">
        <v>0</v>
      </c>
      <c r="U253" s="15">
        <v>163</v>
      </c>
      <c r="V253" s="18"/>
      <c r="W253" s="18"/>
      <c r="X253" s="30"/>
      <c r="Y253" s="30"/>
      <c r="Z253" s="30"/>
      <c r="AA253" s="30"/>
      <c r="AB253" s="34"/>
      <c r="AC253" s="30"/>
      <c r="AD253" s="30"/>
      <c r="AE253" s="30"/>
      <c r="AF253" s="30"/>
      <c r="AG253" s="30"/>
      <c r="AH253" s="30"/>
      <c r="AI253" s="30"/>
      <c r="AJ253" s="30"/>
      <c r="AK253" s="30"/>
      <c r="AL253" s="30"/>
      <c r="AM253" s="30"/>
      <c r="AN253" s="30"/>
      <c r="AO253" s="30"/>
    </row>
    <row r="254" spans="1:41" s="53" customFormat="1" ht="16.5" customHeight="1">
      <c r="A254" s="47"/>
      <c r="B254" s="107"/>
      <c r="C254" s="20" t="s">
        <v>12</v>
      </c>
      <c r="D254" s="24"/>
      <c r="E254" s="48"/>
      <c r="F254" s="24">
        <f>SUM(F252:F253)</f>
        <v>88</v>
      </c>
      <c r="G254" s="24">
        <f>SUM(G252:G253)</f>
        <v>9</v>
      </c>
      <c r="H254" s="24">
        <f>SUM(H252:H253)</f>
        <v>0</v>
      </c>
      <c r="I254" s="40">
        <f>SUM(F254:H254)</f>
        <v>97</v>
      </c>
      <c r="J254" s="24">
        <f aca="true" t="shared" si="76" ref="J254:O254">SUM(J252:J253)</f>
        <v>38</v>
      </c>
      <c r="K254" s="24">
        <f t="shared" si="76"/>
        <v>12</v>
      </c>
      <c r="L254" s="24">
        <f t="shared" si="76"/>
        <v>2</v>
      </c>
      <c r="M254" s="24">
        <f t="shared" si="76"/>
        <v>6</v>
      </c>
      <c r="N254" s="24">
        <f t="shared" si="76"/>
        <v>1</v>
      </c>
      <c r="O254" s="24">
        <f t="shared" si="76"/>
        <v>33</v>
      </c>
      <c r="P254" s="24">
        <f>SUM(J254:O254)</f>
        <v>92</v>
      </c>
      <c r="Q254" s="24">
        <f>SUM(Q252:Q253)</f>
        <v>5</v>
      </c>
      <c r="R254" s="24">
        <f>SUM(R252:R253)</f>
        <v>0</v>
      </c>
      <c r="S254" s="24">
        <f>SUM(S252:S253)</f>
        <v>0</v>
      </c>
      <c r="T254" s="24">
        <f>SUM(T252:T253)</f>
        <v>0</v>
      </c>
      <c r="U254" s="24">
        <f>SUM(U252:U253)</f>
        <v>163</v>
      </c>
      <c r="V254" s="26">
        <f>IF(I254-Q254=0,"",IF(D254="",(P254+S254)/(I254-Q254),IF(AND(D254&lt;&gt;"",(P254+S254)/(I254-Q254)&gt;=50%),(P254+S254)/(I254-Q254),"")))</f>
        <v>1</v>
      </c>
      <c r="W254" s="26">
        <f>IF(I254=O254,"",IF(V254="",0,(P254+Q254+S254-O254)/(I254-O254)))</f>
        <v>1</v>
      </c>
      <c r="X254" s="49"/>
      <c r="Y254" s="49"/>
      <c r="Z254" s="49"/>
      <c r="AA254" s="49"/>
      <c r="AB254" s="50"/>
      <c r="AC254" s="49"/>
      <c r="AD254" s="49"/>
      <c r="AE254" s="49"/>
      <c r="AF254" s="49"/>
      <c r="AG254" s="49"/>
      <c r="AH254" s="49"/>
      <c r="AI254" s="49"/>
      <c r="AJ254" s="49"/>
      <c r="AK254" s="49"/>
      <c r="AL254" s="49"/>
      <c r="AM254" s="49"/>
      <c r="AN254" s="49"/>
      <c r="AO254" s="49"/>
    </row>
    <row r="255" spans="1:41" s="39" customFormat="1" ht="17.25" customHeight="1">
      <c r="A255" s="32"/>
      <c r="B255" s="107" t="s">
        <v>89</v>
      </c>
      <c r="C255" s="14" t="s">
        <v>2</v>
      </c>
      <c r="D255" s="29" t="s">
        <v>167</v>
      </c>
      <c r="E255" s="16" t="s">
        <v>168</v>
      </c>
      <c r="F255" s="15"/>
      <c r="G255" s="15"/>
      <c r="H255" s="15"/>
      <c r="I255" s="17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U255" s="15"/>
      <c r="V255" s="18"/>
      <c r="W255" s="18"/>
      <c r="X255" s="30"/>
      <c r="Y255" s="30"/>
      <c r="Z255" s="30"/>
      <c r="AA255" s="30"/>
      <c r="AB255" s="34"/>
      <c r="AC255" s="30"/>
      <c r="AD255" s="30"/>
      <c r="AE255" s="30"/>
      <c r="AF255" s="30"/>
      <c r="AG255" s="30"/>
      <c r="AH255" s="30"/>
      <c r="AI255" s="30"/>
      <c r="AJ255" s="30"/>
      <c r="AK255" s="30"/>
      <c r="AL255" s="30"/>
      <c r="AM255" s="30"/>
      <c r="AN255" s="30"/>
      <c r="AO255" s="30"/>
    </row>
    <row r="256" spans="1:41" s="39" customFormat="1" ht="16.5" customHeight="1">
      <c r="A256" s="32">
        <v>17</v>
      </c>
      <c r="B256" s="107"/>
      <c r="C256" s="20" t="str">
        <f>IF(A256="","VARA",VLOOKUP(A256,'[1]varas'!$A$4:$B$67,2))</f>
        <v>17ª VT Recife</v>
      </c>
      <c r="D256" s="29"/>
      <c r="E256" s="16"/>
      <c r="F256" s="15">
        <v>0</v>
      </c>
      <c r="G256" s="15">
        <v>0</v>
      </c>
      <c r="H256" s="15">
        <v>0</v>
      </c>
      <c r="I256" s="17">
        <f>SUM(F256:H256)</f>
        <v>0</v>
      </c>
      <c r="J256" s="15">
        <v>0</v>
      </c>
      <c r="K256" s="15">
        <v>0</v>
      </c>
      <c r="L256" s="15">
        <v>0</v>
      </c>
      <c r="M256" s="15">
        <v>0</v>
      </c>
      <c r="N256" s="15">
        <v>0</v>
      </c>
      <c r="O256" s="15">
        <v>0</v>
      </c>
      <c r="P256" s="15">
        <f>SUM(J256:O256)</f>
        <v>0</v>
      </c>
      <c r="Q256" s="15">
        <v>0</v>
      </c>
      <c r="R256" s="15">
        <v>0</v>
      </c>
      <c r="S256" s="15">
        <v>0</v>
      </c>
      <c r="T256" s="15">
        <v>0</v>
      </c>
      <c r="U256" s="15">
        <v>0</v>
      </c>
      <c r="V256" s="18"/>
      <c r="W256" s="18"/>
      <c r="X256" s="30"/>
      <c r="Y256" s="30"/>
      <c r="Z256" s="30"/>
      <c r="AA256" s="30"/>
      <c r="AB256" s="34"/>
      <c r="AC256" s="30"/>
      <c r="AD256" s="30"/>
      <c r="AE256" s="30"/>
      <c r="AF256" s="30"/>
      <c r="AG256" s="30"/>
      <c r="AH256" s="30"/>
      <c r="AI256" s="30"/>
      <c r="AJ256" s="30"/>
      <c r="AK256" s="30"/>
      <c r="AL256" s="30"/>
      <c r="AM256" s="30"/>
      <c r="AN256" s="30"/>
      <c r="AO256" s="30"/>
    </row>
    <row r="257" spans="1:41" s="39" customFormat="1" ht="16.5" customHeight="1">
      <c r="A257" s="32"/>
      <c r="B257" s="107"/>
      <c r="C257" s="21" t="s">
        <v>12</v>
      </c>
      <c r="D257" s="33"/>
      <c r="E257" s="23"/>
      <c r="F257" s="24">
        <f>SUM(F255:F256)</f>
        <v>0</v>
      </c>
      <c r="G257" s="24">
        <f>SUM(G255:G256)</f>
        <v>0</v>
      </c>
      <c r="H257" s="24">
        <f>SUM(H255:H256)</f>
        <v>0</v>
      </c>
      <c r="I257" s="40">
        <f>SUM(F257:H257)</f>
        <v>0</v>
      </c>
      <c r="J257" s="24">
        <f aca="true" t="shared" si="77" ref="J257:O257">SUM(J255:J256)</f>
        <v>0</v>
      </c>
      <c r="K257" s="24">
        <f t="shared" si="77"/>
        <v>0</v>
      </c>
      <c r="L257" s="24">
        <f t="shared" si="77"/>
        <v>0</v>
      </c>
      <c r="M257" s="24">
        <f t="shared" si="77"/>
        <v>0</v>
      </c>
      <c r="N257" s="24">
        <f t="shared" si="77"/>
        <v>0</v>
      </c>
      <c r="O257" s="24">
        <f t="shared" si="77"/>
        <v>0</v>
      </c>
      <c r="P257" s="24">
        <f>SUM(J257:O257)</f>
        <v>0</v>
      </c>
      <c r="Q257" s="24">
        <f>SUM(Q255:Q256)</f>
        <v>0</v>
      </c>
      <c r="R257" s="24">
        <f>SUM(R255:R256)</f>
        <v>0</v>
      </c>
      <c r="S257" s="24">
        <f>SUM(S255:S256)</f>
        <v>0</v>
      </c>
      <c r="T257" s="24">
        <f>SUM(T255:T256)</f>
        <v>0</v>
      </c>
      <c r="U257" s="24">
        <f>SUM(U255:U256)</f>
        <v>0</v>
      </c>
      <c r="V257" s="26">
        <f>IF(I257-Q257=0,"",IF(D257="",(P257+S257)/(I257-Q257),IF(AND(D257&lt;&gt;"",(P257+S257)/(I257-Q257)&gt;=50%),(P257+S257)/(I257-Q257),"")))</f>
      </c>
      <c r="W257" s="26">
        <f>IF(I257=O257,"",IF(V257="",0,(P257+Q257+S257-O257)/(I257-O257)))</f>
      </c>
      <c r="X257" s="30"/>
      <c r="Y257" s="30"/>
      <c r="Z257" s="30"/>
      <c r="AA257" s="30"/>
      <c r="AB257" s="34"/>
      <c r="AC257" s="30"/>
      <c r="AD257" s="30"/>
      <c r="AE257" s="30"/>
      <c r="AF257" s="30"/>
      <c r="AG257" s="30"/>
      <c r="AH257" s="30"/>
      <c r="AI257" s="30"/>
      <c r="AJ257" s="30"/>
      <c r="AK257" s="30"/>
      <c r="AL257" s="30"/>
      <c r="AM257" s="30"/>
      <c r="AN257" s="30"/>
      <c r="AO257" s="30"/>
    </row>
    <row r="258" spans="1:41" s="39" customFormat="1" ht="17.25" customHeight="1">
      <c r="A258" s="32"/>
      <c r="B258" s="107" t="s">
        <v>90</v>
      </c>
      <c r="C258" s="14" t="s">
        <v>2</v>
      </c>
      <c r="D258" s="29" t="s">
        <v>43</v>
      </c>
      <c r="E258" s="16" t="s">
        <v>215</v>
      </c>
      <c r="F258" s="15"/>
      <c r="G258" s="15"/>
      <c r="H258" s="15"/>
      <c r="I258" s="17"/>
      <c r="J258" s="15"/>
      <c r="K258" s="15"/>
      <c r="L258" s="15"/>
      <c r="M258" s="15"/>
      <c r="N258" s="15"/>
      <c r="O258" s="15"/>
      <c r="P258" s="15"/>
      <c r="Q258" s="15"/>
      <c r="R258" s="15"/>
      <c r="S258" s="15"/>
      <c r="T258" s="15"/>
      <c r="U258" s="15"/>
      <c r="V258" s="18"/>
      <c r="W258" s="18"/>
      <c r="X258" s="30"/>
      <c r="Y258" s="30"/>
      <c r="Z258" s="30"/>
      <c r="AA258" s="30"/>
      <c r="AB258" s="34"/>
      <c r="AC258" s="30"/>
      <c r="AD258" s="30"/>
      <c r="AE258" s="30"/>
      <c r="AF258" s="30"/>
      <c r="AG258" s="30"/>
      <c r="AH258" s="30"/>
      <c r="AI258" s="30"/>
      <c r="AJ258" s="30"/>
      <c r="AK258" s="30"/>
      <c r="AL258" s="30"/>
      <c r="AM258" s="30"/>
      <c r="AN258" s="30"/>
      <c r="AO258" s="30"/>
    </row>
    <row r="259" spans="1:41" s="39" customFormat="1" ht="15" customHeight="1">
      <c r="A259" s="32">
        <v>43</v>
      </c>
      <c r="B259" s="107"/>
      <c r="C259" s="20" t="str">
        <f>IF(A259="","VARA",VLOOKUP(A259,'[1]varas'!$A$4:$B$67,2))</f>
        <v>1ª VT Petrolina</v>
      </c>
      <c r="D259" s="15"/>
      <c r="E259" s="16"/>
      <c r="F259" s="15">
        <f>61+79+4+3</f>
        <v>147</v>
      </c>
      <c r="G259" s="15">
        <v>8</v>
      </c>
      <c r="H259" s="15">
        <v>0</v>
      </c>
      <c r="I259" s="17">
        <f>SUM(F259:H259)</f>
        <v>155</v>
      </c>
      <c r="J259" s="15">
        <v>38</v>
      </c>
      <c r="K259" s="15">
        <v>21</v>
      </c>
      <c r="L259" s="15">
        <v>4</v>
      </c>
      <c r="M259" s="15">
        <v>3</v>
      </c>
      <c r="N259" s="15">
        <v>0</v>
      </c>
      <c r="O259" s="15">
        <v>79</v>
      </c>
      <c r="P259" s="15">
        <f>SUM(J259:O259)</f>
        <v>145</v>
      </c>
      <c r="Q259" s="15">
        <v>10</v>
      </c>
      <c r="R259" s="15">
        <v>0</v>
      </c>
      <c r="S259" s="15">
        <v>0</v>
      </c>
      <c r="T259" s="15">
        <v>0</v>
      </c>
      <c r="U259" s="15">
        <v>263</v>
      </c>
      <c r="V259" s="18"/>
      <c r="W259" s="18"/>
      <c r="X259" s="30"/>
      <c r="Y259" s="30"/>
      <c r="Z259" s="30"/>
      <c r="AA259" s="30"/>
      <c r="AB259" s="34"/>
      <c r="AC259" s="30"/>
      <c r="AD259" s="30"/>
      <c r="AE259" s="30"/>
      <c r="AF259" s="30"/>
      <c r="AG259" s="30"/>
      <c r="AH259" s="30"/>
      <c r="AI259" s="30"/>
      <c r="AJ259" s="30"/>
      <c r="AK259" s="30"/>
      <c r="AL259" s="30"/>
      <c r="AM259" s="30"/>
      <c r="AN259" s="30"/>
      <c r="AO259" s="30"/>
    </row>
    <row r="260" spans="1:41" s="39" customFormat="1" ht="18" customHeight="1">
      <c r="A260" s="32">
        <v>44</v>
      </c>
      <c r="B260" s="107"/>
      <c r="C260" s="20" t="str">
        <f>IF(A260="","VARA",VLOOKUP(A260,'[1]varas'!$A$4:$B$67,2))</f>
        <v>2ª VT Petrolina</v>
      </c>
      <c r="D260" s="15"/>
      <c r="E260" s="16"/>
      <c r="F260" s="15">
        <v>0</v>
      </c>
      <c r="G260" s="15">
        <v>2</v>
      </c>
      <c r="H260" s="15">
        <v>0</v>
      </c>
      <c r="I260" s="17">
        <f>SUM(F260:H260)</f>
        <v>2</v>
      </c>
      <c r="J260" s="15">
        <v>2</v>
      </c>
      <c r="K260" s="15">
        <v>0</v>
      </c>
      <c r="L260" s="15">
        <v>0</v>
      </c>
      <c r="M260" s="15">
        <v>0</v>
      </c>
      <c r="N260" s="15">
        <v>0</v>
      </c>
      <c r="O260" s="15">
        <v>0</v>
      </c>
      <c r="P260" s="15">
        <f>SUM(J260:O260)</f>
        <v>2</v>
      </c>
      <c r="Q260" s="15">
        <v>0</v>
      </c>
      <c r="R260" s="15">
        <v>0</v>
      </c>
      <c r="S260" s="15">
        <v>0</v>
      </c>
      <c r="T260" s="15">
        <v>0</v>
      </c>
      <c r="U260" s="15">
        <v>0</v>
      </c>
      <c r="V260" s="18"/>
      <c r="W260" s="18"/>
      <c r="X260" s="30"/>
      <c r="Y260" s="30"/>
      <c r="Z260" s="30"/>
      <c r="AA260" s="30"/>
      <c r="AB260" s="34"/>
      <c r="AC260" s="30"/>
      <c r="AD260" s="30"/>
      <c r="AE260" s="30"/>
      <c r="AF260" s="30"/>
      <c r="AG260" s="30"/>
      <c r="AH260" s="30"/>
      <c r="AI260" s="30"/>
      <c r="AJ260" s="30"/>
      <c r="AK260" s="30"/>
      <c r="AL260" s="30"/>
      <c r="AM260" s="30"/>
      <c r="AN260" s="30"/>
      <c r="AO260" s="30"/>
    </row>
    <row r="261" spans="1:41" s="53" customFormat="1" ht="15.75" customHeight="1">
      <c r="A261" s="47"/>
      <c r="B261" s="107"/>
      <c r="C261" s="20" t="s">
        <v>12</v>
      </c>
      <c r="D261" s="24"/>
      <c r="E261" s="48"/>
      <c r="F261" s="24">
        <f>SUM(F258:F260)</f>
        <v>147</v>
      </c>
      <c r="G261" s="24">
        <f>SUM(G258:G260)</f>
        <v>10</v>
      </c>
      <c r="H261" s="24">
        <f>SUM(H258:H260)</f>
        <v>0</v>
      </c>
      <c r="I261" s="40">
        <f>SUM(F261:H261)</f>
        <v>157</v>
      </c>
      <c r="J261" s="24">
        <f aca="true" t="shared" si="78" ref="J261:O261">SUM(J258:J260)</f>
        <v>40</v>
      </c>
      <c r="K261" s="24">
        <f t="shared" si="78"/>
        <v>21</v>
      </c>
      <c r="L261" s="24">
        <f t="shared" si="78"/>
        <v>4</v>
      </c>
      <c r="M261" s="24">
        <f t="shared" si="78"/>
        <v>3</v>
      </c>
      <c r="N261" s="24">
        <f t="shared" si="78"/>
        <v>0</v>
      </c>
      <c r="O261" s="24">
        <f t="shared" si="78"/>
        <v>79</v>
      </c>
      <c r="P261" s="24">
        <f>SUM(J261:O261)</f>
        <v>147</v>
      </c>
      <c r="Q261" s="24">
        <f>SUM(Q258:Q260)</f>
        <v>10</v>
      </c>
      <c r="R261" s="24">
        <f>SUM(R258:R260)</f>
        <v>0</v>
      </c>
      <c r="S261" s="24">
        <f>SUM(S258:S260)</f>
        <v>0</v>
      </c>
      <c r="T261" s="24">
        <f>SUM(T258:T260)</f>
        <v>0</v>
      </c>
      <c r="U261" s="24">
        <f>SUM(U258:U260)</f>
        <v>263</v>
      </c>
      <c r="V261" s="26">
        <f>IF(I261-Q261=0,"",IF(D261="",(P261+S261)/(I261-Q261),IF(AND(D261&lt;&gt;"",(P261+S261)/(I261-Q261)&gt;=50%),(P261+S261)/(I261-Q261),"")))</f>
        <v>1</v>
      </c>
      <c r="W261" s="26">
        <f>IF(I261=O261,"",IF(V261="",0,(P261+Q261+S261-O261)/(I261-O261)))</f>
        <v>1</v>
      </c>
      <c r="X261" s="49"/>
      <c r="Y261" s="49"/>
      <c r="Z261" s="49"/>
      <c r="AA261" s="49"/>
      <c r="AB261" s="50"/>
      <c r="AC261" s="49"/>
      <c r="AD261" s="49"/>
      <c r="AE261" s="49"/>
      <c r="AF261" s="49"/>
      <c r="AG261" s="49"/>
      <c r="AH261" s="49"/>
      <c r="AI261" s="49"/>
      <c r="AJ261" s="49"/>
      <c r="AK261" s="49"/>
      <c r="AL261" s="49"/>
      <c r="AM261" s="49"/>
      <c r="AN261" s="49"/>
      <c r="AO261" s="49"/>
    </row>
    <row r="262" spans="1:41" s="39" customFormat="1" ht="19.5" customHeight="1">
      <c r="A262" s="32"/>
      <c r="B262" s="107" t="s">
        <v>91</v>
      </c>
      <c r="C262" s="14" t="s">
        <v>2</v>
      </c>
      <c r="D262" s="29"/>
      <c r="E262" s="16" t="s">
        <v>27</v>
      </c>
      <c r="F262" s="15"/>
      <c r="G262" s="15"/>
      <c r="H262" s="15"/>
      <c r="I262" s="17"/>
      <c r="J262" s="15"/>
      <c r="K262" s="15"/>
      <c r="L262" s="15"/>
      <c r="M262" s="15"/>
      <c r="N262" s="15"/>
      <c r="O262" s="15"/>
      <c r="P262" s="15"/>
      <c r="Q262" s="15"/>
      <c r="R262" s="15"/>
      <c r="S262" s="15"/>
      <c r="T262" s="15"/>
      <c r="U262" s="15"/>
      <c r="V262" s="18"/>
      <c r="W262" s="18"/>
      <c r="X262" s="30"/>
      <c r="Y262" s="30"/>
      <c r="Z262" s="30"/>
      <c r="AA262" s="30"/>
      <c r="AB262" s="34"/>
      <c r="AC262" s="30"/>
      <c r="AD262" s="30"/>
      <c r="AE262" s="30"/>
      <c r="AF262" s="30"/>
      <c r="AG262" s="30"/>
      <c r="AH262" s="30"/>
      <c r="AI262" s="30"/>
      <c r="AJ262" s="30"/>
      <c r="AK262" s="30"/>
      <c r="AL262" s="30"/>
      <c r="AM262" s="30"/>
      <c r="AN262" s="30"/>
      <c r="AO262" s="30"/>
    </row>
    <row r="263" spans="1:41" s="39" customFormat="1" ht="15.75" customHeight="1">
      <c r="A263" s="32">
        <v>46</v>
      </c>
      <c r="B263" s="107"/>
      <c r="C263" s="20" t="str">
        <f>IF(A263="","VARA",VLOOKUP(A263,'[1]varas'!$A$4:$B$67,2))</f>
        <v>VT Belo Jardim</v>
      </c>
      <c r="D263" s="15"/>
      <c r="E263" s="16"/>
      <c r="F263" s="15">
        <f>25+41+3</f>
        <v>69</v>
      </c>
      <c r="G263" s="15">
        <v>0</v>
      </c>
      <c r="H263" s="15">
        <v>0</v>
      </c>
      <c r="I263" s="17">
        <f>SUM(F263:H263)</f>
        <v>69</v>
      </c>
      <c r="J263" s="15">
        <v>11</v>
      </c>
      <c r="K263" s="15">
        <v>14</v>
      </c>
      <c r="L263" s="15">
        <v>1</v>
      </c>
      <c r="M263" s="15">
        <v>1</v>
      </c>
      <c r="N263" s="15">
        <v>1</v>
      </c>
      <c r="O263" s="15">
        <v>41</v>
      </c>
      <c r="P263" s="15">
        <f>SUM(J263:O263)</f>
        <v>69</v>
      </c>
      <c r="Q263" s="15">
        <v>0</v>
      </c>
      <c r="R263" s="15">
        <v>0</v>
      </c>
      <c r="S263" s="15">
        <v>0</v>
      </c>
      <c r="T263" s="15">
        <v>0</v>
      </c>
      <c r="U263" s="15">
        <v>121</v>
      </c>
      <c r="V263" s="18"/>
      <c r="W263" s="18"/>
      <c r="X263" s="30"/>
      <c r="Y263" s="30"/>
      <c r="Z263" s="30"/>
      <c r="AA263" s="30"/>
      <c r="AB263" s="34"/>
      <c r="AC263" s="30"/>
      <c r="AD263" s="30"/>
      <c r="AE263" s="30"/>
      <c r="AF263" s="30"/>
      <c r="AG263" s="30"/>
      <c r="AH263" s="30"/>
      <c r="AI263" s="30"/>
      <c r="AJ263" s="30"/>
      <c r="AK263" s="30"/>
      <c r="AL263" s="30"/>
      <c r="AM263" s="30"/>
      <c r="AN263" s="30"/>
      <c r="AO263" s="30"/>
    </row>
    <row r="264" spans="1:41" s="53" customFormat="1" ht="15" customHeight="1">
      <c r="A264" s="47"/>
      <c r="B264" s="107"/>
      <c r="C264" s="21" t="s">
        <v>12</v>
      </c>
      <c r="D264" s="51"/>
      <c r="E264" s="52"/>
      <c r="F264" s="24">
        <f>SUM(F262:F263)</f>
        <v>69</v>
      </c>
      <c r="G264" s="24">
        <f>SUM(G262:G263)</f>
        <v>0</v>
      </c>
      <c r="H264" s="24">
        <f>SUM(H262:H263)</f>
        <v>0</v>
      </c>
      <c r="I264" s="25">
        <f>SUM(F264:H264)</f>
        <v>69</v>
      </c>
      <c r="J264" s="24">
        <f aca="true" t="shared" si="79" ref="J264:O264">SUM(J262:J263)</f>
        <v>11</v>
      </c>
      <c r="K264" s="24">
        <f t="shared" si="79"/>
        <v>14</v>
      </c>
      <c r="L264" s="24">
        <f t="shared" si="79"/>
        <v>1</v>
      </c>
      <c r="M264" s="24">
        <f t="shared" si="79"/>
        <v>1</v>
      </c>
      <c r="N264" s="24">
        <f t="shared" si="79"/>
        <v>1</v>
      </c>
      <c r="O264" s="24">
        <f t="shared" si="79"/>
        <v>41</v>
      </c>
      <c r="P264" s="24">
        <f>SUM(J264:O264)</f>
        <v>69</v>
      </c>
      <c r="Q264" s="24">
        <f>SUM(Q262:Q263)</f>
        <v>0</v>
      </c>
      <c r="R264" s="24">
        <f>SUM(R262:R263)</f>
        <v>0</v>
      </c>
      <c r="S264" s="24">
        <f>SUM(S262:S263)</f>
        <v>0</v>
      </c>
      <c r="T264" s="24">
        <f>SUM(T262:T263)</f>
        <v>0</v>
      </c>
      <c r="U264" s="24">
        <f>SUM(U262:U263)</f>
        <v>121</v>
      </c>
      <c r="V264" s="26">
        <f>IF(I264-Q264=0,"",IF(D264="",(P264+S264)/(I264-Q264),IF(AND(D264&lt;&gt;"",(P264+S264)/(I264-Q264)&gt;=50%),(P264+S264)/(I264-Q264),"")))</f>
        <v>1</v>
      </c>
      <c r="W264" s="26">
        <f>IF(I264=O264,"",IF(V264="",0,(P264+Q264+S264-O264)/(I264-O264)))</f>
        <v>1</v>
      </c>
      <c r="X264" s="49"/>
      <c r="Y264" s="49"/>
      <c r="Z264" s="49"/>
      <c r="AA264" s="49"/>
      <c r="AB264" s="50"/>
      <c r="AC264" s="49"/>
      <c r="AD264" s="49"/>
      <c r="AE264" s="49"/>
      <c r="AF264" s="49"/>
      <c r="AG264" s="49"/>
      <c r="AH264" s="49"/>
      <c r="AI264" s="49"/>
      <c r="AJ264" s="49"/>
      <c r="AK264" s="49"/>
      <c r="AL264" s="49"/>
      <c r="AM264" s="49"/>
      <c r="AN264" s="49"/>
      <c r="AO264" s="49"/>
    </row>
    <row r="265" spans="1:41" s="39" customFormat="1" ht="18.75" customHeight="1">
      <c r="A265" s="32"/>
      <c r="B265" s="107" t="s">
        <v>92</v>
      </c>
      <c r="C265" s="14" t="s">
        <v>2</v>
      </c>
      <c r="D265" s="29"/>
      <c r="E265" s="16" t="s">
        <v>27</v>
      </c>
      <c r="F265" s="15"/>
      <c r="G265" s="15"/>
      <c r="H265" s="15"/>
      <c r="I265" s="17"/>
      <c r="J265" s="15"/>
      <c r="K265" s="15"/>
      <c r="L265" s="15"/>
      <c r="M265" s="15"/>
      <c r="N265" s="15"/>
      <c r="O265" s="15"/>
      <c r="P265" s="15"/>
      <c r="Q265" s="15"/>
      <c r="R265" s="15"/>
      <c r="S265" s="15"/>
      <c r="T265" s="15"/>
      <c r="U265" s="15"/>
      <c r="V265" s="18"/>
      <c r="W265" s="18"/>
      <c r="X265" s="30"/>
      <c r="Y265" s="30"/>
      <c r="Z265" s="30"/>
      <c r="AA265" s="30"/>
      <c r="AB265" s="34"/>
      <c r="AC265" s="30"/>
      <c r="AD265" s="30"/>
      <c r="AE265" s="30"/>
      <c r="AF265" s="30"/>
      <c r="AG265" s="30"/>
      <c r="AH265" s="30"/>
      <c r="AI265" s="30"/>
      <c r="AJ265" s="30"/>
      <c r="AK265" s="30"/>
      <c r="AL265" s="30"/>
      <c r="AM265" s="30"/>
      <c r="AN265" s="30"/>
      <c r="AO265" s="30"/>
    </row>
    <row r="266" spans="1:41" s="39" customFormat="1" ht="15" customHeight="1">
      <c r="A266" s="32">
        <v>15</v>
      </c>
      <c r="B266" s="107"/>
      <c r="C266" s="20" t="str">
        <f>IF(A266="","VARA",VLOOKUP(A266,'[1]varas'!$A$4:$B$67,2))</f>
        <v>15ª VT Recife</v>
      </c>
      <c r="D266" s="15"/>
      <c r="E266" s="16"/>
      <c r="F266" s="15">
        <f>47+60+16</f>
        <v>123</v>
      </c>
      <c r="G266" s="15">
        <v>15</v>
      </c>
      <c r="H266" s="15">
        <v>0</v>
      </c>
      <c r="I266" s="17">
        <f>SUM(F266:H266)</f>
        <v>138</v>
      </c>
      <c r="J266" s="15">
        <v>34</v>
      </c>
      <c r="K266" s="15">
        <v>13</v>
      </c>
      <c r="L266" s="15">
        <v>6</v>
      </c>
      <c r="M266" s="15">
        <v>10</v>
      </c>
      <c r="N266" s="15">
        <v>0</v>
      </c>
      <c r="O266" s="15">
        <v>60</v>
      </c>
      <c r="P266" s="15">
        <f>SUM(J266:O266)</f>
        <v>123</v>
      </c>
      <c r="Q266" s="15">
        <v>14</v>
      </c>
      <c r="R266" s="15">
        <v>1</v>
      </c>
      <c r="S266" s="15">
        <v>0</v>
      </c>
      <c r="T266" s="15">
        <v>0</v>
      </c>
      <c r="U266" s="15">
        <v>203</v>
      </c>
      <c r="V266" s="18"/>
      <c r="W266" s="18"/>
      <c r="X266" s="30"/>
      <c r="Y266" s="30"/>
      <c r="Z266" s="30"/>
      <c r="AA266" s="30"/>
      <c r="AB266" s="34"/>
      <c r="AC266" s="30"/>
      <c r="AD266" s="30"/>
      <c r="AE266" s="30"/>
      <c r="AF266" s="30"/>
      <c r="AG266" s="30"/>
      <c r="AH266" s="30"/>
      <c r="AI266" s="30"/>
      <c r="AJ266" s="30"/>
      <c r="AK266" s="30"/>
      <c r="AL266" s="30"/>
      <c r="AM266" s="30"/>
      <c r="AN266" s="30"/>
      <c r="AO266" s="30"/>
    </row>
    <row r="267" spans="1:41" s="39" customFormat="1" ht="14.25" customHeight="1">
      <c r="A267" s="32"/>
      <c r="B267" s="107"/>
      <c r="C267" s="21" t="s">
        <v>12</v>
      </c>
      <c r="D267" s="33"/>
      <c r="E267" s="23"/>
      <c r="F267" s="24">
        <f>SUM(F265:F266)</f>
        <v>123</v>
      </c>
      <c r="G267" s="24">
        <f>SUM(G265:G266)</f>
        <v>15</v>
      </c>
      <c r="H267" s="24">
        <f>SUM(H265:H266)</f>
        <v>0</v>
      </c>
      <c r="I267" s="40">
        <f>SUM(F267:H267)</f>
        <v>138</v>
      </c>
      <c r="J267" s="24">
        <f aca="true" t="shared" si="80" ref="J267:O267">SUM(J265:J266)</f>
        <v>34</v>
      </c>
      <c r="K267" s="24">
        <f t="shared" si="80"/>
        <v>13</v>
      </c>
      <c r="L267" s="24">
        <f t="shared" si="80"/>
        <v>6</v>
      </c>
      <c r="M267" s="24">
        <f t="shared" si="80"/>
        <v>10</v>
      </c>
      <c r="N267" s="24">
        <f t="shared" si="80"/>
        <v>0</v>
      </c>
      <c r="O267" s="24">
        <f t="shared" si="80"/>
        <v>60</v>
      </c>
      <c r="P267" s="24">
        <f>SUM(J267:O267)</f>
        <v>123</v>
      </c>
      <c r="Q267" s="24">
        <f>SUM(Q265:Q266)</f>
        <v>14</v>
      </c>
      <c r="R267" s="24">
        <f>SUM(R265:R266)</f>
        <v>1</v>
      </c>
      <c r="S267" s="24">
        <f>SUM(S265:S266)</f>
        <v>0</v>
      </c>
      <c r="T267" s="24">
        <f>SUM(T265:T266)</f>
        <v>0</v>
      </c>
      <c r="U267" s="24">
        <f>SUM(U265:U266)</f>
        <v>203</v>
      </c>
      <c r="V267" s="26">
        <f>IF(I267-Q267=0,"",IF(D267="",(P267+S267)/(I267-Q267),IF(AND(D267&lt;&gt;"",(P267+S267)/(I267-Q267)&gt;=50%),(P267+S267)/(I267-Q267),"")))</f>
        <v>0.9919354838709677</v>
      </c>
      <c r="W267" s="26">
        <f>IF(I267=O267,"",IF(V267="",0,(P267+Q267+S267-O267)/(I267-O267)))</f>
        <v>0.9871794871794872</v>
      </c>
      <c r="X267" s="30"/>
      <c r="Y267" s="30"/>
      <c r="Z267" s="30"/>
      <c r="AA267" s="30"/>
      <c r="AB267" s="34"/>
      <c r="AC267" s="30"/>
      <c r="AD267" s="30"/>
      <c r="AE267" s="30"/>
      <c r="AF267" s="30"/>
      <c r="AG267" s="30"/>
      <c r="AH267" s="30"/>
      <c r="AI267" s="30"/>
      <c r="AJ267" s="30"/>
      <c r="AK267" s="30"/>
      <c r="AL267" s="30"/>
      <c r="AM267" s="30"/>
      <c r="AN267" s="30"/>
      <c r="AO267" s="30"/>
    </row>
    <row r="268" spans="1:41" s="39" customFormat="1" ht="16.5" customHeight="1">
      <c r="A268" s="32"/>
      <c r="B268" s="107" t="s">
        <v>93</v>
      </c>
      <c r="C268" s="14" t="s">
        <v>2</v>
      </c>
      <c r="D268" s="15" t="s">
        <v>30</v>
      </c>
      <c r="E268" s="16" t="s">
        <v>201</v>
      </c>
      <c r="F268" s="15"/>
      <c r="G268" s="15"/>
      <c r="H268" s="15"/>
      <c r="I268" s="17"/>
      <c r="J268" s="15"/>
      <c r="K268" s="15"/>
      <c r="L268" s="15"/>
      <c r="M268" s="15"/>
      <c r="N268" s="15"/>
      <c r="O268" s="15"/>
      <c r="P268" s="15"/>
      <c r="Q268" s="15"/>
      <c r="R268" s="15"/>
      <c r="S268" s="15"/>
      <c r="T268" s="15"/>
      <c r="U268" s="15"/>
      <c r="V268" s="18"/>
      <c r="W268" s="18"/>
      <c r="X268" s="30"/>
      <c r="Y268" s="30"/>
      <c r="Z268" s="30"/>
      <c r="AA268" s="30"/>
      <c r="AB268" s="34"/>
      <c r="AC268" s="30"/>
      <c r="AD268" s="30"/>
      <c r="AE268" s="30"/>
      <c r="AF268" s="30"/>
      <c r="AG268" s="30"/>
      <c r="AH268" s="30"/>
      <c r="AI268" s="30"/>
      <c r="AJ268" s="30"/>
      <c r="AK268" s="30"/>
      <c r="AL268" s="30"/>
      <c r="AM268" s="30"/>
      <c r="AN268" s="30"/>
      <c r="AO268" s="30"/>
    </row>
    <row r="269" spans="1:41" s="39" customFormat="1" ht="16.5" customHeight="1">
      <c r="A269" s="32">
        <v>41</v>
      </c>
      <c r="B269" s="107"/>
      <c r="C269" s="20" t="str">
        <f>IF(A269="","VARA",VLOOKUP(A269,'[1]varas'!$A$4:$B$67,2))</f>
        <v>1ª VT Paulista</v>
      </c>
      <c r="D269" s="15"/>
      <c r="E269" s="16"/>
      <c r="F269" s="15">
        <v>47</v>
      </c>
      <c r="G269" s="15">
        <v>0</v>
      </c>
      <c r="H269" s="15">
        <v>26</v>
      </c>
      <c r="I269" s="17">
        <f>SUM(F269:H269)</f>
        <v>73</v>
      </c>
      <c r="J269" s="15">
        <v>18</v>
      </c>
      <c r="K269" s="15">
        <v>0</v>
      </c>
      <c r="L269" s="15">
        <v>0</v>
      </c>
      <c r="M269" s="15">
        <v>0</v>
      </c>
      <c r="N269" s="15">
        <v>0</v>
      </c>
      <c r="O269" s="15">
        <v>47</v>
      </c>
      <c r="P269" s="15">
        <f>SUM(J269:O269)</f>
        <v>65</v>
      </c>
      <c r="Q269" s="15">
        <v>0</v>
      </c>
      <c r="R269" s="15">
        <v>8</v>
      </c>
      <c r="S269" s="15">
        <v>0</v>
      </c>
      <c r="T269" s="15">
        <v>0</v>
      </c>
      <c r="U269" s="15">
        <v>0</v>
      </c>
      <c r="V269" s="18"/>
      <c r="W269" s="18"/>
      <c r="X269" s="30"/>
      <c r="Y269" s="30"/>
      <c r="Z269" s="30"/>
      <c r="AA269" s="30"/>
      <c r="AB269" s="34"/>
      <c r="AC269" s="30"/>
      <c r="AD269" s="30"/>
      <c r="AE269" s="30"/>
      <c r="AF269" s="30"/>
      <c r="AG269" s="30"/>
      <c r="AH269" s="30"/>
      <c r="AI269" s="30"/>
      <c r="AJ269" s="30"/>
      <c r="AK269" s="30"/>
      <c r="AL269" s="30"/>
      <c r="AM269" s="30"/>
      <c r="AN269" s="30"/>
      <c r="AO269" s="30"/>
    </row>
    <row r="270" spans="1:41" s="53" customFormat="1" ht="16.5" customHeight="1">
      <c r="A270" s="47"/>
      <c r="B270" s="107"/>
      <c r="C270" s="21" t="s">
        <v>12</v>
      </c>
      <c r="D270" s="51"/>
      <c r="E270" s="52"/>
      <c r="F270" s="24">
        <f>SUM(F268:F269)</f>
        <v>47</v>
      </c>
      <c r="G270" s="24">
        <f>SUM(G268:G269)</f>
        <v>0</v>
      </c>
      <c r="H270" s="24">
        <f>SUM(H268:H269)</f>
        <v>26</v>
      </c>
      <c r="I270" s="25">
        <f>SUM(F270:H270)</f>
        <v>73</v>
      </c>
      <c r="J270" s="24">
        <f aca="true" t="shared" si="81" ref="J270:O270">SUM(J268:J269)</f>
        <v>18</v>
      </c>
      <c r="K270" s="24">
        <f t="shared" si="81"/>
        <v>0</v>
      </c>
      <c r="L270" s="24">
        <f t="shared" si="81"/>
        <v>0</v>
      </c>
      <c r="M270" s="24">
        <f t="shared" si="81"/>
        <v>0</v>
      </c>
      <c r="N270" s="24">
        <f t="shared" si="81"/>
        <v>0</v>
      </c>
      <c r="O270" s="24">
        <f t="shared" si="81"/>
        <v>47</v>
      </c>
      <c r="P270" s="24">
        <f>SUM(J270:O270)</f>
        <v>65</v>
      </c>
      <c r="Q270" s="24">
        <f>SUM(Q268:Q269)</f>
        <v>0</v>
      </c>
      <c r="R270" s="24">
        <f>SUM(R268:R269)</f>
        <v>8</v>
      </c>
      <c r="S270" s="24">
        <f>SUM(S268:S269)</f>
        <v>0</v>
      </c>
      <c r="T270" s="24">
        <f>SUM(T268:T269)</f>
        <v>0</v>
      </c>
      <c r="U270" s="24">
        <f>SUM(U268:U269)</f>
        <v>0</v>
      </c>
      <c r="V270" s="26">
        <f>IF(I270-Q270=0,"",IF(D270="",(P270+S270)/(I270-Q270),IF(AND(D270&lt;&gt;"",(P270+S270)/(I270-Q270)&gt;=50%),(P270+S270)/(I270-Q270),"")))</f>
        <v>0.8904109589041096</v>
      </c>
      <c r="W270" s="26">
        <f>IF(I270=O270,"",IF(V270="",0,(P270+Q270+S270-O270)/(I270-O270)))</f>
        <v>0.6923076923076923</v>
      </c>
      <c r="X270" s="49"/>
      <c r="Y270" s="49"/>
      <c r="Z270" s="49"/>
      <c r="AA270" s="49"/>
      <c r="AB270" s="50"/>
      <c r="AC270" s="49"/>
      <c r="AD270" s="49"/>
      <c r="AE270" s="49"/>
      <c r="AF270" s="49"/>
      <c r="AG270" s="49"/>
      <c r="AH270" s="49"/>
      <c r="AI270" s="49"/>
      <c r="AJ270" s="49"/>
      <c r="AK270" s="49"/>
      <c r="AL270" s="49"/>
      <c r="AM270" s="49"/>
      <c r="AN270" s="49"/>
      <c r="AO270" s="49"/>
    </row>
    <row r="271" spans="1:41" s="39" customFormat="1" ht="16.5" customHeight="1">
      <c r="A271" s="32"/>
      <c r="B271" s="107" t="s">
        <v>94</v>
      </c>
      <c r="C271" s="14" t="s">
        <v>2</v>
      </c>
      <c r="D271" s="15" t="s">
        <v>30</v>
      </c>
      <c r="E271" s="16" t="s">
        <v>177</v>
      </c>
      <c r="F271" s="15"/>
      <c r="G271" s="15"/>
      <c r="H271" s="15"/>
      <c r="I271" s="17"/>
      <c r="J271" s="15"/>
      <c r="K271" s="15"/>
      <c r="L271" s="15"/>
      <c r="M271" s="15"/>
      <c r="N271" s="15"/>
      <c r="O271" s="15"/>
      <c r="P271" s="15"/>
      <c r="Q271" s="15"/>
      <c r="R271" s="15"/>
      <c r="S271" s="15"/>
      <c r="T271" s="15"/>
      <c r="U271" s="15"/>
      <c r="V271" s="18"/>
      <c r="W271" s="18"/>
      <c r="X271" s="30"/>
      <c r="Y271" s="30"/>
      <c r="Z271" s="30"/>
      <c r="AA271" s="30"/>
      <c r="AB271" s="34"/>
      <c r="AC271" s="30"/>
      <c r="AD271" s="30"/>
      <c r="AE271" s="30"/>
      <c r="AF271" s="30"/>
      <c r="AG271" s="30"/>
      <c r="AH271" s="30"/>
      <c r="AI271" s="30"/>
      <c r="AJ271" s="30"/>
      <c r="AK271" s="30"/>
      <c r="AL271" s="30"/>
      <c r="AM271" s="30"/>
      <c r="AN271" s="30"/>
      <c r="AO271" s="30"/>
    </row>
    <row r="272" spans="1:41" s="39" customFormat="1" ht="16.5" customHeight="1">
      <c r="A272" s="32">
        <v>42</v>
      </c>
      <c r="B272" s="107"/>
      <c r="C272" s="20" t="str">
        <f>IF(A272="","VARA",VLOOKUP(A272,'[1]varas'!$A$4:$B$67,2))</f>
        <v>2ª VT Paulista</v>
      </c>
      <c r="D272" s="15"/>
      <c r="E272" s="16"/>
      <c r="F272" s="15">
        <f>21+40+14</f>
        <v>75</v>
      </c>
      <c r="G272" s="15">
        <v>6</v>
      </c>
      <c r="H272" s="15">
        <v>0</v>
      </c>
      <c r="I272" s="17">
        <f>SUM(F272:H272)</f>
        <v>81</v>
      </c>
      <c r="J272" s="15">
        <v>11</v>
      </c>
      <c r="K272" s="15">
        <v>7</v>
      </c>
      <c r="L272" s="15">
        <v>14</v>
      </c>
      <c r="M272" s="15">
        <v>0</v>
      </c>
      <c r="N272" s="15">
        <v>0</v>
      </c>
      <c r="O272" s="15">
        <v>40</v>
      </c>
      <c r="P272" s="15">
        <f>SUM(J272:O272)</f>
        <v>72</v>
      </c>
      <c r="Q272" s="15">
        <v>9</v>
      </c>
      <c r="R272" s="15">
        <v>0</v>
      </c>
      <c r="S272" s="15">
        <v>0</v>
      </c>
      <c r="T272" s="15">
        <v>0</v>
      </c>
      <c r="U272" s="15">
        <v>94</v>
      </c>
      <c r="V272" s="18"/>
      <c r="W272" s="18"/>
      <c r="X272" s="30"/>
      <c r="Y272" s="30"/>
      <c r="Z272" s="30"/>
      <c r="AA272" s="30"/>
      <c r="AB272" s="34"/>
      <c r="AC272" s="30"/>
      <c r="AD272" s="30"/>
      <c r="AE272" s="30"/>
      <c r="AF272" s="30"/>
      <c r="AG272" s="30"/>
      <c r="AH272" s="30"/>
      <c r="AI272" s="30"/>
      <c r="AJ272" s="30"/>
      <c r="AK272" s="30"/>
      <c r="AL272" s="30"/>
      <c r="AM272" s="30"/>
      <c r="AN272" s="30"/>
      <c r="AO272" s="30"/>
    </row>
    <row r="273" spans="1:41" s="53" customFormat="1" ht="15" customHeight="1">
      <c r="A273" s="47"/>
      <c r="B273" s="107"/>
      <c r="C273" s="21" t="s">
        <v>12</v>
      </c>
      <c r="D273" s="51"/>
      <c r="E273" s="52"/>
      <c r="F273" s="24">
        <f>SUM(F271:F272)</f>
        <v>75</v>
      </c>
      <c r="G273" s="24">
        <f>SUM(G271:G272)</f>
        <v>6</v>
      </c>
      <c r="H273" s="24">
        <f>SUM(H271:H272)</f>
        <v>0</v>
      </c>
      <c r="I273" s="25">
        <f>SUM(F273:H273)</f>
        <v>81</v>
      </c>
      <c r="J273" s="24">
        <f aca="true" t="shared" si="82" ref="J273:O273">SUM(J271:J272)</f>
        <v>11</v>
      </c>
      <c r="K273" s="24">
        <f t="shared" si="82"/>
        <v>7</v>
      </c>
      <c r="L273" s="24">
        <f t="shared" si="82"/>
        <v>14</v>
      </c>
      <c r="M273" s="24">
        <f t="shared" si="82"/>
        <v>0</v>
      </c>
      <c r="N273" s="24">
        <f t="shared" si="82"/>
        <v>0</v>
      </c>
      <c r="O273" s="24">
        <f t="shared" si="82"/>
        <v>40</v>
      </c>
      <c r="P273" s="24">
        <f>SUM(J273:O273)</f>
        <v>72</v>
      </c>
      <c r="Q273" s="24">
        <f>SUM(Q271:Q272)</f>
        <v>9</v>
      </c>
      <c r="R273" s="24">
        <f>SUM(R271:R272)</f>
        <v>0</v>
      </c>
      <c r="S273" s="24">
        <f>SUM(S271:S272)</f>
        <v>0</v>
      </c>
      <c r="T273" s="24">
        <f>SUM(T271:T272)</f>
        <v>0</v>
      </c>
      <c r="U273" s="24">
        <f>SUM(U271:U272)</f>
        <v>94</v>
      </c>
      <c r="V273" s="26">
        <f>IF(I273-Q273=0,"",IF(D273="",(P273+S273)/(I273-Q273),IF(AND(D273&lt;&gt;"",(P273+S273)/(I273-Q273)&gt;=50%),(P273+S273)/(I273-Q273),"")))</f>
        <v>1</v>
      </c>
      <c r="W273" s="26">
        <f>IF(I273=O273,"",IF(V273="",0,(P273+Q273+S273-O273)/(I273-O273)))</f>
        <v>1</v>
      </c>
      <c r="X273" s="49"/>
      <c r="Y273" s="49"/>
      <c r="Z273" s="49"/>
      <c r="AA273" s="49"/>
      <c r="AB273" s="50"/>
      <c r="AC273" s="49"/>
      <c r="AD273" s="49"/>
      <c r="AE273" s="49"/>
      <c r="AF273" s="49"/>
      <c r="AG273" s="49"/>
      <c r="AH273" s="49"/>
      <c r="AI273" s="49"/>
      <c r="AJ273" s="49"/>
      <c r="AK273" s="49"/>
      <c r="AL273" s="49"/>
      <c r="AM273" s="49"/>
      <c r="AN273" s="49"/>
      <c r="AO273" s="49"/>
    </row>
    <row r="274" spans="1:41" s="39" customFormat="1" ht="17.25" customHeight="1">
      <c r="A274" s="32"/>
      <c r="B274" s="113" t="s">
        <v>95</v>
      </c>
      <c r="C274" s="14" t="s">
        <v>2</v>
      </c>
      <c r="D274" s="29" t="s">
        <v>170</v>
      </c>
      <c r="E274" s="16" t="s">
        <v>216</v>
      </c>
      <c r="F274" s="15"/>
      <c r="G274" s="15"/>
      <c r="H274" s="15"/>
      <c r="I274" s="17"/>
      <c r="J274" s="15"/>
      <c r="K274" s="15"/>
      <c r="L274" s="15"/>
      <c r="M274" s="15"/>
      <c r="N274" s="15"/>
      <c r="O274" s="15"/>
      <c r="P274" s="15"/>
      <c r="Q274" s="15"/>
      <c r="R274" s="15"/>
      <c r="S274" s="15"/>
      <c r="T274" s="15"/>
      <c r="U274" s="15"/>
      <c r="V274" s="18"/>
      <c r="W274" s="18"/>
      <c r="X274" s="30"/>
      <c r="Y274" s="30"/>
      <c r="Z274" s="30"/>
      <c r="AA274" s="30"/>
      <c r="AB274" s="34"/>
      <c r="AC274" s="30"/>
      <c r="AD274" s="30"/>
      <c r="AE274" s="30"/>
      <c r="AF274" s="30"/>
      <c r="AG274" s="30"/>
      <c r="AH274" s="30"/>
      <c r="AI274" s="30"/>
      <c r="AJ274" s="30"/>
      <c r="AK274" s="30"/>
      <c r="AL274" s="30"/>
      <c r="AM274" s="30"/>
      <c r="AN274" s="30"/>
      <c r="AO274" s="30"/>
    </row>
    <row r="275" spans="1:41" s="39" customFormat="1" ht="15" customHeight="1">
      <c r="A275" s="32">
        <v>30</v>
      </c>
      <c r="B275" s="113"/>
      <c r="C275" s="20" t="str">
        <f>IF(A275="","VARA",VLOOKUP(A275,'[1]varas'!$A$4:$B$67,2))</f>
        <v>3ª VT Caruaru</v>
      </c>
      <c r="D275" s="15"/>
      <c r="E275" s="16"/>
      <c r="F275" s="15">
        <v>0</v>
      </c>
      <c r="G275" s="15">
        <v>0</v>
      </c>
      <c r="H275" s="15">
        <v>0</v>
      </c>
      <c r="I275" s="17">
        <f>SUM(F275:H275)</f>
        <v>0</v>
      </c>
      <c r="J275" s="15">
        <v>0</v>
      </c>
      <c r="K275" s="15">
        <v>0</v>
      </c>
      <c r="L275" s="15">
        <v>0</v>
      </c>
      <c r="M275" s="15">
        <v>0</v>
      </c>
      <c r="N275" s="15">
        <v>0</v>
      </c>
      <c r="O275" s="15">
        <v>0</v>
      </c>
      <c r="P275" s="15">
        <f>SUM(J275:O275)</f>
        <v>0</v>
      </c>
      <c r="Q275" s="15">
        <v>0</v>
      </c>
      <c r="R275" s="15">
        <v>0</v>
      </c>
      <c r="S275" s="15">
        <v>0</v>
      </c>
      <c r="T275" s="15">
        <v>0</v>
      </c>
      <c r="U275" s="15">
        <v>0</v>
      </c>
      <c r="V275" s="18"/>
      <c r="W275" s="18"/>
      <c r="X275" s="30"/>
      <c r="Y275" s="30"/>
      <c r="Z275" s="30"/>
      <c r="AA275" s="30"/>
      <c r="AB275" s="34"/>
      <c r="AC275" s="30"/>
      <c r="AD275" s="30"/>
      <c r="AE275" s="30"/>
      <c r="AF275" s="30"/>
      <c r="AG275" s="30"/>
      <c r="AH275" s="30"/>
      <c r="AI275" s="30"/>
      <c r="AJ275" s="30"/>
      <c r="AK275" s="30"/>
      <c r="AL275" s="30"/>
      <c r="AM275" s="30"/>
      <c r="AN275" s="30"/>
      <c r="AO275" s="30"/>
    </row>
    <row r="276" spans="1:41" s="53" customFormat="1" ht="16.5" customHeight="1">
      <c r="A276" s="47"/>
      <c r="B276" s="113"/>
      <c r="C276" s="21" t="s">
        <v>12</v>
      </c>
      <c r="D276" s="51"/>
      <c r="E276" s="52"/>
      <c r="F276" s="24">
        <f>SUM(F274:F275)</f>
        <v>0</v>
      </c>
      <c r="G276" s="24">
        <f>SUM(G274:G275)</f>
        <v>0</v>
      </c>
      <c r="H276" s="24">
        <f>SUM(H274:H275)</f>
        <v>0</v>
      </c>
      <c r="I276" s="25">
        <f>SUM(F276:H276)</f>
        <v>0</v>
      </c>
      <c r="J276" s="24">
        <f aca="true" t="shared" si="83" ref="J276:O276">SUM(J274:J275)</f>
        <v>0</v>
      </c>
      <c r="K276" s="24">
        <f t="shared" si="83"/>
        <v>0</v>
      </c>
      <c r="L276" s="24">
        <f t="shared" si="83"/>
        <v>0</v>
      </c>
      <c r="M276" s="24">
        <f t="shared" si="83"/>
        <v>0</v>
      </c>
      <c r="N276" s="24">
        <f t="shared" si="83"/>
        <v>0</v>
      </c>
      <c r="O276" s="24">
        <f t="shared" si="83"/>
        <v>0</v>
      </c>
      <c r="P276" s="24">
        <f>SUM(J276:O276)</f>
        <v>0</v>
      </c>
      <c r="Q276" s="24">
        <f>SUM(Q274:Q275)</f>
        <v>0</v>
      </c>
      <c r="R276" s="24">
        <f>SUM(R274:R275)</f>
        <v>0</v>
      </c>
      <c r="S276" s="24">
        <f>SUM(S274:S275)</f>
        <v>0</v>
      </c>
      <c r="T276" s="24">
        <f>SUM(T274:T275)</f>
        <v>0</v>
      </c>
      <c r="U276" s="24">
        <f>SUM(U274:U275)</f>
        <v>0</v>
      </c>
      <c r="V276" s="26">
        <f>IF(I276-Q276=0,"",IF(D276="",(P276+S276)/(I276-Q276),IF(AND(D276&lt;&gt;"",(P276+S276)/(I276-Q276)&gt;=50%),(P276+S276)/(I276-Q276),"")))</f>
      </c>
      <c r="W276" s="26">
        <f>IF(I276=O276,"",IF(V276="",0,(P276+Q276+S276-O276)/(I276-O276)))</f>
      </c>
      <c r="X276" s="49"/>
      <c r="Y276" s="49"/>
      <c r="Z276" s="49"/>
      <c r="AA276" s="49"/>
      <c r="AB276" s="50"/>
      <c r="AC276" s="49"/>
      <c r="AD276" s="49"/>
      <c r="AE276" s="49"/>
      <c r="AF276" s="49"/>
      <c r="AG276" s="49"/>
      <c r="AH276" s="49"/>
      <c r="AI276" s="49"/>
      <c r="AJ276" s="49"/>
      <c r="AK276" s="49"/>
      <c r="AL276" s="49"/>
      <c r="AM276" s="49"/>
      <c r="AN276" s="49"/>
      <c r="AO276" s="49"/>
    </row>
    <row r="277" spans="1:41" s="39" customFormat="1" ht="18.75" customHeight="1">
      <c r="A277" s="32"/>
      <c r="B277" s="107" t="s">
        <v>96</v>
      </c>
      <c r="C277" s="14" t="s">
        <v>2</v>
      </c>
      <c r="D277" s="29" t="s">
        <v>30</v>
      </c>
      <c r="E277" s="16" t="s">
        <v>217</v>
      </c>
      <c r="F277" s="15"/>
      <c r="G277" s="15"/>
      <c r="H277" s="15"/>
      <c r="I277" s="17"/>
      <c r="J277" s="15"/>
      <c r="K277" s="15"/>
      <c r="L277" s="15"/>
      <c r="M277" s="15"/>
      <c r="N277" s="15"/>
      <c r="O277" s="15"/>
      <c r="P277" s="15"/>
      <c r="Q277" s="15"/>
      <c r="R277" s="15"/>
      <c r="S277" s="15"/>
      <c r="T277" s="15"/>
      <c r="U277" s="15"/>
      <c r="V277" s="18"/>
      <c r="W277" s="18"/>
      <c r="X277" s="30"/>
      <c r="Y277" s="30"/>
      <c r="Z277" s="30"/>
      <c r="AA277" s="30"/>
      <c r="AB277" s="34"/>
      <c r="AC277" s="30"/>
      <c r="AD277" s="30"/>
      <c r="AE277" s="30"/>
      <c r="AF277" s="30"/>
      <c r="AG277" s="30"/>
      <c r="AH277" s="30"/>
      <c r="AI277" s="30"/>
      <c r="AJ277" s="30"/>
      <c r="AK277" s="30"/>
      <c r="AL277" s="30"/>
      <c r="AM277" s="30"/>
      <c r="AN277" s="30"/>
      <c r="AO277" s="30"/>
    </row>
    <row r="278" spans="1:41" s="39" customFormat="1" ht="17.25" customHeight="1">
      <c r="A278" s="32">
        <v>34</v>
      </c>
      <c r="B278" s="107"/>
      <c r="C278" s="20" t="str">
        <f>IF(A278="","VARA",VLOOKUP(A278,'[1]varas'!$A$4:$B$67,2))</f>
        <v>1ª VT Jaboatão</v>
      </c>
      <c r="D278" s="15"/>
      <c r="E278" s="16"/>
      <c r="F278" s="15">
        <f>42+34+7</f>
        <v>83</v>
      </c>
      <c r="G278" s="15">
        <v>10</v>
      </c>
      <c r="H278" s="15">
        <v>1</v>
      </c>
      <c r="I278" s="17">
        <f>SUM(F278:H278)</f>
        <v>94</v>
      </c>
      <c r="J278" s="15">
        <v>31</v>
      </c>
      <c r="K278" s="15">
        <v>16</v>
      </c>
      <c r="L278" s="15">
        <v>5</v>
      </c>
      <c r="M278" s="15">
        <v>2</v>
      </c>
      <c r="N278" s="15">
        <v>0</v>
      </c>
      <c r="O278" s="15">
        <v>34</v>
      </c>
      <c r="P278" s="15">
        <f>SUM(J278:O278)</f>
        <v>88</v>
      </c>
      <c r="Q278" s="15">
        <v>5</v>
      </c>
      <c r="R278" s="15">
        <v>1</v>
      </c>
      <c r="S278" s="15">
        <v>0</v>
      </c>
      <c r="T278" s="15">
        <v>0</v>
      </c>
      <c r="U278" s="15">
        <v>129</v>
      </c>
      <c r="V278" s="18"/>
      <c r="W278" s="18"/>
      <c r="X278" s="30"/>
      <c r="Y278" s="30"/>
      <c r="Z278" s="30"/>
      <c r="AA278" s="30"/>
      <c r="AB278" s="34"/>
      <c r="AC278" s="30"/>
      <c r="AD278" s="30"/>
      <c r="AE278" s="30"/>
      <c r="AF278" s="30"/>
      <c r="AG278" s="30"/>
      <c r="AH278" s="30"/>
      <c r="AI278" s="30"/>
      <c r="AJ278" s="30"/>
      <c r="AK278" s="30"/>
      <c r="AL278" s="30"/>
      <c r="AM278" s="30"/>
      <c r="AN278" s="30"/>
      <c r="AO278" s="30"/>
    </row>
    <row r="279" spans="1:41" s="53" customFormat="1" ht="15" customHeight="1">
      <c r="A279" s="47"/>
      <c r="B279" s="107"/>
      <c r="C279" s="21" t="s">
        <v>12</v>
      </c>
      <c r="D279" s="51"/>
      <c r="E279" s="52"/>
      <c r="F279" s="24">
        <f>SUM(F277:F278)</f>
        <v>83</v>
      </c>
      <c r="G279" s="24">
        <f>SUM(G277:G278)</f>
        <v>10</v>
      </c>
      <c r="H279" s="24">
        <f>SUM(H277:H278)</f>
        <v>1</v>
      </c>
      <c r="I279" s="25">
        <f>SUM(F279:H279)</f>
        <v>94</v>
      </c>
      <c r="J279" s="24">
        <f aca="true" t="shared" si="84" ref="J279:O279">SUM(J277:J278)</f>
        <v>31</v>
      </c>
      <c r="K279" s="24">
        <f t="shared" si="84"/>
        <v>16</v>
      </c>
      <c r="L279" s="24">
        <f t="shared" si="84"/>
        <v>5</v>
      </c>
      <c r="M279" s="24">
        <f t="shared" si="84"/>
        <v>2</v>
      </c>
      <c r="N279" s="24">
        <f t="shared" si="84"/>
        <v>0</v>
      </c>
      <c r="O279" s="24">
        <f t="shared" si="84"/>
        <v>34</v>
      </c>
      <c r="P279" s="24">
        <f>SUM(J279:O279)</f>
        <v>88</v>
      </c>
      <c r="Q279" s="24">
        <f>SUM(Q277:Q278)</f>
        <v>5</v>
      </c>
      <c r="R279" s="24">
        <f>SUM(R277:R278)</f>
        <v>1</v>
      </c>
      <c r="S279" s="24">
        <f>SUM(S277:S278)</f>
        <v>0</v>
      </c>
      <c r="T279" s="24">
        <f>SUM(T277:T278)</f>
        <v>0</v>
      </c>
      <c r="U279" s="24">
        <f>SUM(U277:U278)</f>
        <v>129</v>
      </c>
      <c r="V279" s="26">
        <f>IF(I279-Q279=0,"",IF(D279="",(P279+S279)/(I279-Q279),IF(AND(D279&lt;&gt;"",(P279+S279)/(I279-Q279)&gt;=50%),(P279+S279)/(I279-Q279),"")))</f>
        <v>0.9887640449438202</v>
      </c>
      <c r="W279" s="26">
        <f>IF(I279=O279,"",IF(V279="",0,(P279+Q279+S279-O279)/(I279-O279)))</f>
        <v>0.9833333333333333</v>
      </c>
      <c r="X279" s="49"/>
      <c r="Y279" s="49"/>
      <c r="Z279" s="49"/>
      <c r="AA279" s="49"/>
      <c r="AB279" s="50"/>
      <c r="AC279" s="49"/>
      <c r="AD279" s="49"/>
      <c r="AE279" s="49"/>
      <c r="AF279" s="49"/>
      <c r="AG279" s="49"/>
      <c r="AH279" s="49"/>
      <c r="AI279" s="49"/>
      <c r="AJ279" s="49"/>
      <c r="AK279" s="49"/>
      <c r="AL279" s="49"/>
      <c r="AM279" s="49"/>
      <c r="AN279" s="49"/>
      <c r="AO279" s="49"/>
    </row>
    <row r="280" spans="1:41" s="39" customFormat="1" ht="20.25" customHeight="1">
      <c r="A280" s="32"/>
      <c r="B280" s="107" t="s">
        <v>97</v>
      </c>
      <c r="C280" s="14" t="s">
        <v>186</v>
      </c>
      <c r="D280" s="29" t="s">
        <v>30</v>
      </c>
      <c r="E280" s="16" t="s">
        <v>218</v>
      </c>
      <c r="F280" s="15"/>
      <c r="G280" s="15"/>
      <c r="H280" s="15"/>
      <c r="I280" s="17"/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/>
      <c r="U280" s="15"/>
      <c r="V280" s="18"/>
      <c r="W280" s="18"/>
      <c r="X280" s="30"/>
      <c r="Y280" s="30"/>
      <c r="Z280" s="30"/>
      <c r="AA280" s="30"/>
      <c r="AB280" s="34"/>
      <c r="AC280" s="30"/>
      <c r="AD280" s="30"/>
      <c r="AE280" s="30"/>
      <c r="AF280" s="30"/>
      <c r="AG280" s="30"/>
      <c r="AH280" s="30"/>
      <c r="AI280" s="30"/>
      <c r="AJ280" s="30"/>
      <c r="AK280" s="30"/>
      <c r="AL280" s="30"/>
      <c r="AM280" s="30"/>
      <c r="AN280" s="30"/>
      <c r="AO280" s="30"/>
    </row>
    <row r="281" spans="1:41" s="39" customFormat="1" ht="18" customHeight="1">
      <c r="A281" s="32">
        <v>27</v>
      </c>
      <c r="B281" s="107"/>
      <c r="C281" s="20" t="str">
        <f>IF(A281="","VARA",VLOOKUP(A281,'[1]varas'!$A$4:$B$67,2))</f>
        <v>2ª VT Cabo</v>
      </c>
      <c r="D281" s="15"/>
      <c r="E281" s="16"/>
      <c r="F281" s="15">
        <v>2</v>
      </c>
      <c r="G281" s="15">
        <v>8</v>
      </c>
      <c r="H281" s="15">
        <v>26</v>
      </c>
      <c r="I281" s="17">
        <f>SUM(F281:H281)</f>
        <v>36</v>
      </c>
      <c r="J281" s="15">
        <v>14</v>
      </c>
      <c r="K281" s="15">
        <v>0</v>
      </c>
      <c r="L281" s="15">
        <v>1</v>
      </c>
      <c r="M281" s="15">
        <v>1</v>
      </c>
      <c r="N281" s="15">
        <v>0</v>
      </c>
      <c r="O281" s="15">
        <v>0</v>
      </c>
      <c r="P281" s="15">
        <f>SUM(J281:O281)</f>
        <v>16</v>
      </c>
      <c r="Q281" s="15">
        <v>3</v>
      </c>
      <c r="R281" s="15">
        <v>17</v>
      </c>
      <c r="S281" s="15">
        <v>0</v>
      </c>
      <c r="T281" s="15">
        <v>0</v>
      </c>
      <c r="U281" s="15">
        <v>0</v>
      </c>
      <c r="V281" s="18"/>
      <c r="W281" s="18"/>
      <c r="X281" s="30"/>
      <c r="Y281" s="30"/>
      <c r="Z281" s="30"/>
      <c r="AA281" s="30"/>
      <c r="AB281" s="34"/>
      <c r="AC281" s="30"/>
      <c r="AD281" s="30"/>
      <c r="AE281" s="30"/>
      <c r="AF281" s="30"/>
      <c r="AG281" s="30"/>
      <c r="AH281" s="30"/>
      <c r="AI281" s="30"/>
      <c r="AJ281" s="30"/>
      <c r="AK281" s="30"/>
      <c r="AL281" s="30"/>
      <c r="AM281" s="30"/>
      <c r="AN281" s="30"/>
      <c r="AO281" s="30"/>
    </row>
    <row r="282" spans="1:41" s="53" customFormat="1" ht="15.75" customHeight="1">
      <c r="A282" s="47"/>
      <c r="B282" s="107"/>
      <c r="C282" s="21" t="s">
        <v>12</v>
      </c>
      <c r="D282" s="51"/>
      <c r="E282" s="52"/>
      <c r="F282" s="24">
        <f>SUM(F280:F281)</f>
        <v>2</v>
      </c>
      <c r="G282" s="24">
        <f>SUM(G280:G281)</f>
        <v>8</v>
      </c>
      <c r="H282" s="24">
        <f>SUM(H280:H281)</f>
        <v>26</v>
      </c>
      <c r="I282" s="25">
        <f>SUM(F282:H282)</f>
        <v>36</v>
      </c>
      <c r="J282" s="24">
        <f aca="true" t="shared" si="85" ref="J282:O282">SUM(J280:J281)</f>
        <v>14</v>
      </c>
      <c r="K282" s="24">
        <f t="shared" si="85"/>
        <v>0</v>
      </c>
      <c r="L282" s="24">
        <f t="shared" si="85"/>
        <v>1</v>
      </c>
      <c r="M282" s="24">
        <f t="shared" si="85"/>
        <v>1</v>
      </c>
      <c r="N282" s="24">
        <f t="shared" si="85"/>
        <v>0</v>
      </c>
      <c r="O282" s="24">
        <f t="shared" si="85"/>
        <v>0</v>
      </c>
      <c r="P282" s="24">
        <f>SUM(J282:O282)</f>
        <v>16</v>
      </c>
      <c r="Q282" s="24">
        <f>SUM(Q280:Q281)</f>
        <v>3</v>
      </c>
      <c r="R282" s="24">
        <f>SUM(R280:R281)</f>
        <v>17</v>
      </c>
      <c r="S282" s="24">
        <f>SUM(S280:S281)</f>
        <v>0</v>
      </c>
      <c r="T282" s="24">
        <f>SUM(T280:T281)</f>
        <v>0</v>
      </c>
      <c r="U282" s="24">
        <f>SUM(U280:U281)</f>
        <v>0</v>
      </c>
      <c r="V282" s="26">
        <f>IF(I282-Q282=0,"",IF(D282="",(P282+S282)/(I282-Q282),IF(AND(D282&lt;&gt;"",(P282+S282)/(I282-Q282)&gt;=50%),(P282+S282)/(I282-Q282),"")))</f>
        <v>0.48484848484848486</v>
      </c>
      <c r="W282" s="26">
        <f>IF(I282=O282,"",IF(V282="",0,(P282+Q282+S282-O282)/(I282-O282)))</f>
        <v>0.5277777777777778</v>
      </c>
      <c r="X282" s="49"/>
      <c r="Y282" s="49"/>
      <c r="Z282" s="49"/>
      <c r="AA282" s="49"/>
      <c r="AB282" s="50"/>
      <c r="AC282" s="49"/>
      <c r="AD282" s="49"/>
      <c r="AE282" s="49"/>
      <c r="AF282" s="49"/>
      <c r="AG282" s="49"/>
      <c r="AH282" s="49"/>
      <c r="AI282" s="49"/>
      <c r="AJ282" s="49"/>
      <c r="AK282" s="49"/>
      <c r="AL282" s="49"/>
      <c r="AM282" s="49"/>
      <c r="AN282" s="49"/>
      <c r="AO282" s="49"/>
    </row>
    <row r="283" spans="1:41" s="39" customFormat="1" ht="21" customHeight="1">
      <c r="A283" s="32"/>
      <c r="B283" s="107" t="s">
        <v>98</v>
      </c>
      <c r="C283" s="14" t="s">
        <v>2</v>
      </c>
      <c r="D283" s="29" t="s">
        <v>43</v>
      </c>
      <c r="E283" s="16" t="s">
        <v>219</v>
      </c>
      <c r="F283" s="15"/>
      <c r="G283" s="15"/>
      <c r="H283" s="15"/>
      <c r="I283" s="17"/>
      <c r="J283" s="15"/>
      <c r="K283" s="15"/>
      <c r="L283" s="15"/>
      <c r="M283" s="15"/>
      <c r="N283" s="15"/>
      <c r="O283" s="15"/>
      <c r="P283" s="15"/>
      <c r="Q283" s="15"/>
      <c r="R283" s="15"/>
      <c r="S283" s="15"/>
      <c r="T283" s="15"/>
      <c r="U283" s="15"/>
      <c r="V283" s="18"/>
      <c r="W283" s="18"/>
      <c r="X283" s="30"/>
      <c r="Y283" s="30"/>
      <c r="Z283" s="30"/>
      <c r="AA283" s="30"/>
      <c r="AB283" s="34"/>
      <c r="AC283" s="30"/>
      <c r="AD283" s="30"/>
      <c r="AE283" s="30"/>
      <c r="AF283" s="30"/>
      <c r="AG283" s="30"/>
      <c r="AH283" s="30"/>
      <c r="AI283" s="30"/>
      <c r="AJ283" s="30"/>
      <c r="AK283" s="30"/>
      <c r="AL283" s="30"/>
      <c r="AM283" s="30"/>
      <c r="AN283" s="30"/>
      <c r="AO283" s="30"/>
    </row>
    <row r="284" spans="1:41" s="39" customFormat="1" ht="18.75" customHeight="1">
      <c r="A284" s="32">
        <v>6</v>
      </c>
      <c r="B284" s="107"/>
      <c r="C284" s="20" t="str">
        <f>IF(A284="","VARA",VLOOKUP(A284,'[1]varas'!$A$4:$B$67,2))</f>
        <v>6ª VT Recife</v>
      </c>
      <c r="D284" s="15"/>
      <c r="E284" s="16"/>
      <c r="F284" s="15">
        <f>10+19+13</f>
        <v>42</v>
      </c>
      <c r="G284" s="15">
        <v>14</v>
      </c>
      <c r="H284" s="15">
        <v>22</v>
      </c>
      <c r="I284" s="17">
        <f>SUM(F284:H284)</f>
        <v>78</v>
      </c>
      <c r="J284" s="15">
        <v>21</v>
      </c>
      <c r="K284" s="15">
        <v>6</v>
      </c>
      <c r="L284" s="15">
        <v>11</v>
      </c>
      <c r="M284" s="15">
        <v>2</v>
      </c>
      <c r="N284" s="15">
        <v>0</v>
      </c>
      <c r="O284" s="15">
        <v>19</v>
      </c>
      <c r="P284" s="15">
        <f>SUM(J284:O284)</f>
        <v>59</v>
      </c>
      <c r="Q284" s="15">
        <v>0</v>
      </c>
      <c r="R284" s="15">
        <v>19</v>
      </c>
      <c r="S284" s="15">
        <v>0</v>
      </c>
      <c r="T284" s="15">
        <v>0</v>
      </c>
      <c r="U284" s="15">
        <v>86</v>
      </c>
      <c r="V284" s="18"/>
      <c r="W284" s="18"/>
      <c r="X284" s="30"/>
      <c r="Y284" s="30"/>
      <c r="Z284" s="30"/>
      <c r="AA284" s="30"/>
      <c r="AB284" s="34"/>
      <c r="AC284" s="30"/>
      <c r="AD284" s="30"/>
      <c r="AE284" s="30"/>
      <c r="AF284" s="30"/>
      <c r="AG284" s="30"/>
      <c r="AH284" s="30"/>
      <c r="AI284" s="30"/>
      <c r="AJ284" s="30"/>
      <c r="AK284" s="30"/>
      <c r="AL284" s="30"/>
      <c r="AM284" s="30"/>
      <c r="AN284" s="30"/>
      <c r="AO284" s="30"/>
    </row>
    <row r="285" spans="1:41" s="39" customFormat="1" ht="17.25" customHeight="1">
      <c r="A285" s="32">
        <v>16</v>
      </c>
      <c r="B285" s="107"/>
      <c r="C285" s="20" t="str">
        <f>IF(A285="","VARA",VLOOKUP(A285,'[1]varas'!$A$4:$B$67,2))</f>
        <v>16ª VT Recife</v>
      </c>
      <c r="D285" s="15"/>
      <c r="E285" s="16"/>
      <c r="F285" s="15">
        <v>0</v>
      </c>
      <c r="G285" s="15">
        <v>0</v>
      </c>
      <c r="H285" s="15">
        <v>1</v>
      </c>
      <c r="I285" s="17">
        <f>SUM(F285:H285)</f>
        <v>1</v>
      </c>
      <c r="J285" s="15">
        <v>0</v>
      </c>
      <c r="K285" s="15">
        <v>0</v>
      </c>
      <c r="L285" s="15">
        <v>0</v>
      </c>
      <c r="M285" s="15">
        <v>0</v>
      </c>
      <c r="N285" s="15">
        <v>0</v>
      </c>
      <c r="O285" s="15">
        <v>0</v>
      </c>
      <c r="P285" s="15">
        <f>SUM(J285:O285)</f>
        <v>0</v>
      </c>
      <c r="Q285" s="15">
        <v>0</v>
      </c>
      <c r="R285" s="15">
        <v>1</v>
      </c>
      <c r="S285" s="15">
        <v>0</v>
      </c>
      <c r="T285" s="15">
        <v>0</v>
      </c>
      <c r="U285" s="15">
        <v>0</v>
      </c>
      <c r="V285" s="18"/>
      <c r="W285" s="18"/>
      <c r="X285" s="30"/>
      <c r="Y285" s="30"/>
      <c r="Z285" s="30"/>
      <c r="AA285" s="30"/>
      <c r="AB285" s="34"/>
      <c r="AC285" s="30"/>
      <c r="AD285" s="30"/>
      <c r="AE285" s="30"/>
      <c r="AF285" s="30"/>
      <c r="AG285" s="30"/>
      <c r="AH285" s="30"/>
      <c r="AI285" s="30"/>
      <c r="AJ285" s="30"/>
      <c r="AK285" s="30"/>
      <c r="AL285" s="30"/>
      <c r="AM285" s="30"/>
      <c r="AN285" s="30"/>
      <c r="AO285" s="30"/>
    </row>
    <row r="286" spans="1:41" s="39" customFormat="1" ht="16.5" customHeight="1">
      <c r="A286" s="32"/>
      <c r="B286" s="107"/>
      <c r="C286" s="21" t="s">
        <v>12</v>
      </c>
      <c r="D286" s="33"/>
      <c r="E286" s="23"/>
      <c r="F286" s="24">
        <f>SUM(F283:F285)</f>
        <v>42</v>
      </c>
      <c r="G286" s="24">
        <f>SUM(G283:G285)</f>
        <v>14</v>
      </c>
      <c r="H286" s="24">
        <f>SUM(H283:H285)</f>
        <v>23</v>
      </c>
      <c r="I286" s="40">
        <f>SUM(F286:H286)</f>
        <v>79</v>
      </c>
      <c r="J286" s="24">
        <f aca="true" t="shared" si="86" ref="J286:O286">SUM(J283:J285)</f>
        <v>21</v>
      </c>
      <c r="K286" s="24">
        <f t="shared" si="86"/>
        <v>6</v>
      </c>
      <c r="L286" s="24">
        <f t="shared" si="86"/>
        <v>11</v>
      </c>
      <c r="M286" s="24">
        <f t="shared" si="86"/>
        <v>2</v>
      </c>
      <c r="N286" s="24">
        <f t="shared" si="86"/>
        <v>0</v>
      </c>
      <c r="O286" s="24">
        <f t="shared" si="86"/>
        <v>19</v>
      </c>
      <c r="P286" s="24">
        <f>SUM(J286:O286)</f>
        <v>59</v>
      </c>
      <c r="Q286" s="24">
        <f>SUM(Q283:Q285)</f>
        <v>0</v>
      </c>
      <c r="R286" s="24">
        <f>SUM(R283:R285)</f>
        <v>20</v>
      </c>
      <c r="S286" s="24">
        <f>SUM(S283:S285)</f>
        <v>0</v>
      </c>
      <c r="T286" s="24">
        <f>SUM(T283:T285)</f>
        <v>0</v>
      </c>
      <c r="U286" s="24">
        <f>SUM(U283:U285)</f>
        <v>86</v>
      </c>
      <c r="V286" s="26">
        <f>IF(I286-Q286=0,"",IF(D286="",(P286+S286)/(I286-Q286),IF(AND(D286&lt;&gt;"",(P286+S286)/(I286-Q286)&gt;=50%),(P286+S286)/(I286-Q286),"")))</f>
        <v>0.7468354430379747</v>
      </c>
      <c r="W286" s="26">
        <f>IF(I286=O286,"",IF(V286="",0,(P286+Q286+S286-O286)/(I286-O286)))</f>
        <v>0.6666666666666666</v>
      </c>
      <c r="X286" s="30"/>
      <c r="Y286" s="30"/>
      <c r="Z286" s="30"/>
      <c r="AA286" s="30"/>
      <c r="AB286" s="34"/>
      <c r="AC286" s="30"/>
      <c r="AD286" s="30"/>
      <c r="AE286" s="30"/>
      <c r="AF286" s="30"/>
      <c r="AG286" s="30"/>
      <c r="AH286" s="30"/>
      <c r="AI286" s="30"/>
      <c r="AJ286" s="30"/>
      <c r="AK286" s="30"/>
      <c r="AL286" s="30"/>
      <c r="AM286" s="30"/>
      <c r="AN286" s="30"/>
      <c r="AO286" s="30"/>
    </row>
    <row r="287" spans="1:41" s="39" customFormat="1" ht="16.5" customHeight="1">
      <c r="A287" s="32"/>
      <c r="B287" s="107" t="s">
        <v>220</v>
      </c>
      <c r="C287" s="14" t="s">
        <v>2</v>
      </c>
      <c r="D287" s="29" t="s">
        <v>185</v>
      </c>
      <c r="E287" s="16" t="s">
        <v>221</v>
      </c>
      <c r="F287" s="15"/>
      <c r="G287" s="15"/>
      <c r="H287" s="15"/>
      <c r="I287" s="17"/>
      <c r="J287" s="15"/>
      <c r="K287" s="15"/>
      <c r="L287" s="15"/>
      <c r="M287" s="15"/>
      <c r="N287" s="15"/>
      <c r="O287" s="15"/>
      <c r="P287" s="15"/>
      <c r="Q287" s="15"/>
      <c r="R287" s="15"/>
      <c r="S287" s="15"/>
      <c r="T287" s="15"/>
      <c r="U287" s="15"/>
      <c r="V287" s="18"/>
      <c r="W287" s="18"/>
      <c r="X287" s="30"/>
      <c r="Y287" s="30"/>
      <c r="Z287" s="30"/>
      <c r="AA287" s="30"/>
      <c r="AB287" s="34"/>
      <c r="AC287" s="30"/>
      <c r="AD287" s="30"/>
      <c r="AE287" s="30"/>
      <c r="AF287" s="30"/>
      <c r="AG287" s="30"/>
      <c r="AH287" s="30"/>
      <c r="AI287" s="30"/>
      <c r="AJ287" s="30"/>
      <c r="AK287" s="30"/>
      <c r="AL287" s="30"/>
      <c r="AM287" s="30"/>
      <c r="AN287" s="30"/>
      <c r="AO287" s="30"/>
    </row>
    <row r="288" spans="1:41" s="39" customFormat="1" ht="16.5" customHeight="1">
      <c r="A288" s="32">
        <v>11</v>
      </c>
      <c r="B288" s="107"/>
      <c r="C288" s="20" t="str">
        <f>IF(A288="","VARA",VLOOKUP(A288,'[1]varas'!$A$4:$B$67,2))</f>
        <v>11ª VT Recife</v>
      </c>
      <c r="D288" s="15"/>
      <c r="E288" s="16"/>
      <c r="F288" s="15">
        <v>7</v>
      </c>
      <c r="G288" s="15">
        <v>0</v>
      </c>
      <c r="H288" s="15">
        <v>0</v>
      </c>
      <c r="I288" s="17">
        <f>SUM(F288:H288)</f>
        <v>7</v>
      </c>
      <c r="J288" s="15">
        <v>1</v>
      </c>
      <c r="K288" s="15">
        <v>4</v>
      </c>
      <c r="L288" s="15">
        <v>0</v>
      </c>
      <c r="M288" s="15">
        <v>0</v>
      </c>
      <c r="N288" s="15">
        <v>0</v>
      </c>
      <c r="O288" s="15">
        <v>2</v>
      </c>
      <c r="P288" s="15">
        <f>SUM(J288:O288)</f>
        <v>7</v>
      </c>
      <c r="Q288" s="15">
        <v>0</v>
      </c>
      <c r="R288" s="15">
        <v>0</v>
      </c>
      <c r="S288" s="15">
        <v>0</v>
      </c>
      <c r="T288" s="15">
        <v>0</v>
      </c>
      <c r="U288" s="15">
        <v>24</v>
      </c>
      <c r="V288" s="18"/>
      <c r="W288" s="18"/>
      <c r="X288" s="30"/>
      <c r="Y288" s="30"/>
      <c r="Z288" s="30"/>
      <c r="AA288" s="30"/>
      <c r="AB288" s="34"/>
      <c r="AC288" s="30"/>
      <c r="AD288" s="30"/>
      <c r="AE288" s="30"/>
      <c r="AF288" s="30"/>
      <c r="AG288" s="30"/>
      <c r="AH288" s="30"/>
      <c r="AI288" s="30"/>
      <c r="AJ288" s="30"/>
      <c r="AK288" s="30"/>
      <c r="AL288" s="30"/>
      <c r="AM288" s="30"/>
      <c r="AN288" s="30"/>
      <c r="AO288" s="30"/>
    </row>
    <row r="289" spans="1:41" s="39" customFormat="1" ht="16.5" customHeight="1">
      <c r="A289" s="32">
        <v>12</v>
      </c>
      <c r="B289" s="107"/>
      <c r="C289" s="20" t="str">
        <f>IF(A289="","VARA",VLOOKUP(A289,'[1]varas'!$A$4:$B$67,2))</f>
        <v>12ª VT Recife</v>
      </c>
      <c r="D289" s="15"/>
      <c r="E289" s="16"/>
      <c r="F289" s="15">
        <v>9</v>
      </c>
      <c r="G289" s="15">
        <v>0</v>
      </c>
      <c r="H289" s="15">
        <v>0</v>
      </c>
      <c r="I289" s="17">
        <f>SUM(F289:H289)</f>
        <v>9</v>
      </c>
      <c r="J289" s="15">
        <v>4</v>
      </c>
      <c r="K289" s="15">
        <v>0</v>
      </c>
      <c r="L289" s="15">
        <v>0</v>
      </c>
      <c r="M289" s="15">
        <v>0</v>
      </c>
      <c r="N289" s="15">
        <v>0</v>
      </c>
      <c r="O289" s="15">
        <v>5</v>
      </c>
      <c r="P289" s="15">
        <f>SUM(J289:O289)</f>
        <v>9</v>
      </c>
      <c r="Q289" s="15">
        <v>0</v>
      </c>
      <c r="R289" s="15">
        <v>0</v>
      </c>
      <c r="S289" s="15">
        <v>0</v>
      </c>
      <c r="T289" s="15">
        <v>0</v>
      </c>
      <c r="U289" s="15">
        <v>20</v>
      </c>
      <c r="V289" s="18"/>
      <c r="W289" s="18"/>
      <c r="X289" s="30"/>
      <c r="Y289" s="30"/>
      <c r="Z289" s="30"/>
      <c r="AA289" s="30"/>
      <c r="AB289" s="34"/>
      <c r="AC289" s="30"/>
      <c r="AD289" s="30"/>
      <c r="AE289" s="30"/>
      <c r="AF289" s="30"/>
      <c r="AG289" s="30"/>
      <c r="AH289" s="30"/>
      <c r="AI289" s="30"/>
      <c r="AJ289" s="30"/>
      <c r="AK289" s="30"/>
      <c r="AL289" s="30"/>
      <c r="AM289" s="30"/>
      <c r="AN289" s="30"/>
      <c r="AO289" s="30"/>
    </row>
    <row r="290" spans="1:41" s="39" customFormat="1" ht="16.5" customHeight="1">
      <c r="A290" s="32">
        <v>23</v>
      </c>
      <c r="B290" s="107"/>
      <c r="C290" s="20" t="str">
        <f>IF(A290="","VARA",VLOOKUP(A290,'[1]varas'!$A$4:$B$67,2))</f>
        <v>23ª VT Recife</v>
      </c>
      <c r="D290" s="15"/>
      <c r="E290" s="16"/>
      <c r="F290" s="15">
        <v>9</v>
      </c>
      <c r="G290" s="15">
        <v>0</v>
      </c>
      <c r="H290" s="15">
        <v>0</v>
      </c>
      <c r="I290" s="17">
        <f>SUM(F290:H290)</f>
        <v>9</v>
      </c>
      <c r="J290" s="15">
        <v>3</v>
      </c>
      <c r="K290" s="15">
        <v>1</v>
      </c>
      <c r="L290" s="15">
        <v>0</v>
      </c>
      <c r="M290" s="15">
        <v>0</v>
      </c>
      <c r="N290" s="15">
        <v>0</v>
      </c>
      <c r="O290" s="15">
        <v>5</v>
      </c>
      <c r="P290" s="15">
        <f>SUM(J290:O290)</f>
        <v>9</v>
      </c>
      <c r="Q290" s="15">
        <v>0</v>
      </c>
      <c r="R290" s="15">
        <v>0</v>
      </c>
      <c r="S290" s="15">
        <v>0</v>
      </c>
      <c r="T290" s="15">
        <v>0</v>
      </c>
      <c r="U290" s="15">
        <v>13</v>
      </c>
      <c r="V290" s="18"/>
      <c r="W290" s="18"/>
      <c r="X290" s="30"/>
      <c r="Y290" s="30"/>
      <c r="Z290" s="30"/>
      <c r="AA290" s="30"/>
      <c r="AB290" s="34"/>
      <c r="AC290" s="30"/>
      <c r="AD290" s="30"/>
      <c r="AE290" s="30"/>
      <c r="AF290" s="30"/>
      <c r="AG290" s="30"/>
      <c r="AH290" s="30"/>
      <c r="AI290" s="30"/>
      <c r="AJ290" s="30"/>
      <c r="AK290" s="30"/>
      <c r="AL290" s="30"/>
      <c r="AM290" s="30"/>
      <c r="AN290" s="30"/>
      <c r="AO290" s="30"/>
    </row>
    <row r="291" spans="1:41" s="39" customFormat="1" ht="16.5" customHeight="1">
      <c r="A291" s="32">
        <v>44</v>
      </c>
      <c r="B291" s="107"/>
      <c r="C291" s="20" t="str">
        <f>IF(A291="","VARA",VLOOKUP(A291,'[1]varas'!$A$4:$B$67,2))</f>
        <v>2ª VT Petrolina</v>
      </c>
      <c r="D291" s="15"/>
      <c r="E291" s="16"/>
      <c r="F291" s="15">
        <f>20+21+4</f>
        <v>45</v>
      </c>
      <c r="G291" s="15">
        <v>0</v>
      </c>
      <c r="H291" s="15">
        <v>0</v>
      </c>
      <c r="I291" s="17">
        <f>SUM(F291:H291)</f>
        <v>45</v>
      </c>
      <c r="J291" s="15">
        <v>20</v>
      </c>
      <c r="K291" s="15">
        <v>0</v>
      </c>
      <c r="L291" s="15">
        <v>1</v>
      </c>
      <c r="M291" s="15">
        <v>3</v>
      </c>
      <c r="N291" s="15">
        <v>0</v>
      </c>
      <c r="O291" s="15">
        <v>21</v>
      </c>
      <c r="P291" s="15">
        <f>SUM(J291:O291)</f>
        <v>45</v>
      </c>
      <c r="Q291" s="15">
        <v>0</v>
      </c>
      <c r="R291" s="15">
        <v>0</v>
      </c>
      <c r="S291" s="15">
        <v>0</v>
      </c>
      <c r="T291" s="15">
        <v>0</v>
      </c>
      <c r="U291" s="15">
        <v>74</v>
      </c>
      <c r="V291" s="18"/>
      <c r="W291" s="18"/>
      <c r="X291" s="30"/>
      <c r="Y291" s="30"/>
      <c r="Z291" s="30"/>
      <c r="AA291" s="30"/>
      <c r="AB291" s="34"/>
      <c r="AC291" s="30"/>
      <c r="AD291" s="30"/>
      <c r="AE291" s="30"/>
      <c r="AF291" s="30"/>
      <c r="AG291" s="30"/>
      <c r="AH291" s="30"/>
      <c r="AI291" s="30"/>
      <c r="AJ291" s="30"/>
      <c r="AK291" s="30"/>
      <c r="AL291" s="30"/>
      <c r="AM291" s="30"/>
      <c r="AN291" s="30"/>
      <c r="AO291" s="30"/>
    </row>
    <row r="292" spans="1:41" s="39" customFormat="1" ht="16.5" customHeight="1">
      <c r="A292" s="32"/>
      <c r="B292" s="107"/>
      <c r="C292" s="21" t="s">
        <v>12</v>
      </c>
      <c r="D292" s="33"/>
      <c r="E292" s="23"/>
      <c r="F292" s="24">
        <f>SUM(F287:F291)</f>
        <v>70</v>
      </c>
      <c r="G292" s="24">
        <f>SUM(G287:G291)</f>
        <v>0</v>
      </c>
      <c r="H292" s="24">
        <f>SUM(H287:H291)</f>
        <v>0</v>
      </c>
      <c r="I292" s="40">
        <f>SUM(F292:H292)</f>
        <v>70</v>
      </c>
      <c r="J292" s="24">
        <f aca="true" t="shared" si="87" ref="J292:O292">SUM(J287:J291)</f>
        <v>28</v>
      </c>
      <c r="K292" s="24">
        <f t="shared" si="87"/>
        <v>5</v>
      </c>
      <c r="L292" s="24">
        <f t="shared" si="87"/>
        <v>1</v>
      </c>
      <c r="M292" s="24">
        <f t="shared" si="87"/>
        <v>3</v>
      </c>
      <c r="N292" s="24">
        <f t="shared" si="87"/>
        <v>0</v>
      </c>
      <c r="O292" s="24">
        <f t="shared" si="87"/>
        <v>33</v>
      </c>
      <c r="P292" s="24">
        <f>SUM(J292:O292)</f>
        <v>70</v>
      </c>
      <c r="Q292" s="24">
        <f>SUM(Q287:Q291)</f>
        <v>0</v>
      </c>
      <c r="R292" s="24">
        <f>SUM(R287:R291)</f>
        <v>0</v>
      </c>
      <c r="S292" s="24">
        <f>SUM(S287:S291)</f>
        <v>0</v>
      </c>
      <c r="T292" s="24">
        <f>SUM(T287:T291)</f>
        <v>0</v>
      </c>
      <c r="U292" s="24">
        <f>SUM(U287:U291)</f>
        <v>131</v>
      </c>
      <c r="V292" s="26">
        <f>IF(I292-Q292=0,"",IF(D292="",(P292+S292)/(I292-Q292),IF(AND(D292&lt;&gt;"",(P292+S292)/(I292-Q292)&gt;=50%),(P292+S292)/(I292-Q292),"")))</f>
        <v>1</v>
      </c>
      <c r="W292" s="26">
        <f>IF(I292=O292,"",IF(V292="",0,(P292+Q292+S292-O292)/(I292-O292)))</f>
        <v>1</v>
      </c>
      <c r="X292" s="30"/>
      <c r="Y292" s="30"/>
      <c r="Z292" s="30"/>
      <c r="AA292" s="30"/>
      <c r="AB292" s="34"/>
      <c r="AC292" s="30"/>
      <c r="AD292" s="30"/>
      <c r="AE292" s="30"/>
      <c r="AF292" s="30"/>
      <c r="AG292" s="30"/>
      <c r="AH292" s="30"/>
      <c r="AI292" s="30"/>
      <c r="AJ292" s="30"/>
      <c r="AK292" s="30"/>
      <c r="AL292" s="30"/>
      <c r="AM292" s="30"/>
      <c r="AN292" s="30"/>
      <c r="AO292" s="30"/>
    </row>
    <row r="293" spans="1:41" s="39" customFormat="1" ht="18.75" customHeight="1">
      <c r="A293" s="32"/>
      <c r="B293" s="107" t="s">
        <v>99</v>
      </c>
      <c r="C293" s="14" t="s">
        <v>2</v>
      </c>
      <c r="D293" s="29" t="s">
        <v>30</v>
      </c>
      <c r="E293" s="16" t="s">
        <v>206</v>
      </c>
      <c r="F293" s="15"/>
      <c r="G293" s="15"/>
      <c r="H293" s="15"/>
      <c r="I293" s="17"/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/>
      <c r="U293" s="15"/>
      <c r="V293" s="18"/>
      <c r="W293" s="18"/>
      <c r="X293" s="30"/>
      <c r="Y293" s="30"/>
      <c r="Z293" s="30"/>
      <c r="AA293" s="30"/>
      <c r="AB293" s="34"/>
      <c r="AC293" s="30"/>
      <c r="AD293" s="30"/>
      <c r="AE293" s="30"/>
      <c r="AF293" s="30"/>
      <c r="AG293" s="30"/>
      <c r="AH293" s="30"/>
      <c r="AI293" s="30"/>
      <c r="AJ293" s="30"/>
      <c r="AK293" s="30"/>
      <c r="AL293" s="30"/>
      <c r="AM293" s="30"/>
      <c r="AN293" s="30"/>
      <c r="AO293" s="30"/>
    </row>
    <row r="294" spans="1:41" s="39" customFormat="1" ht="16.5" customHeight="1">
      <c r="A294" s="32">
        <v>9</v>
      </c>
      <c r="B294" s="107"/>
      <c r="C294" s="20" t="str">
        <f>IF(A294="","VARA",VLOOKUP(A294,'[1]varas'!$A$4:$B$67,2))</f>
        <v>9ª VT Recife</v>
      </c>
      <c r="D294" s="15"/>
      <c r="E294" s="16"/>
      <c r="F294" s="15">
        <f>16+10+13</f>
        <v>39</v>
      </c>
      <c r="G294" s="15">
        <v>4</v>
      </c>
      <c r="H294" s="15">
        <v>41</v>
      </c>
      <c r="I294" s="17">
        <f>SUM(F294:H294)</f>
        <v>84</v>
      </c>
      <c r="J294" s="15">
        <v>35</v>
      </c>
      <c r="K294" s="15">
        <v>0</v>
      </c>
      <c r="L294" s="15">
        <v>10</v>
      </c>
      <c r="M294" s="15">
        <v>3</v>
      </c>
      <c r="N294" s="15">
        <v>0</v>
      </c>
      <c r="O294" s="15">
        <v>10</v>
      </c>
      <c r="P294" s="15">
        <f>SUM(J294:O294)</f>
        <v>58</v>
      </c>
      <c r="Q294" s="15">
        <v>0</v>
      </c>
      <c r="R294" s="15">
        <v>26</v>
      </c>
      <c r="S294" s="15">
        <v>0</v>
      </c>
      <c r="T294" s="15">
        <v>0</v>
      </c>
      <c r="U294" s="15">
        <v>69</v>
      </c>
      <c r="V294" s="18"/>
      <c r="W294" s="18"/>
      <c r="X294" s="30"/>
      <c r="Y294" s="30"/>
      <c r="Z294" s="30"/>
      <c r="AA294" s="30"/>
      <c r="AB294" s="34"/>
      <c r="AC294" s="30"/>
      <c r="AD294" s="30"/>
      <c r="AE294" s="30"/>
      <c r="AF294" s="30"/>
      <c r="AG294" s="30"/>
      <c r="AH294" s="30"/>
      <c r="AI294" s="30"/>
      <c r="AJ294" s="30"/>
      <c r="AK294" s="30"/>
      <c r="AL294" s="30"/>
      <c r="AM294" s="30"/>
      <c r="AN294" s="30"/>
      <c r="AO294" s="30"/>
    </row>
    <row r="295" spans="1:41" s="39" customFormat="1" ht="17.25" customHeight="1">
      <c r="A295" s="32"/>
      <c r="B295" s="107"/>
      <c r="C295" s="21" t="s">
        <v>12</v>
      </c>
      <c r="D295" s="33"/>
      <c r="E295" s="23"/>
      <c r="F295" s="24">
        <f>SUM(F293:F294)</f>
        <v>39</v>
      </c>
      <c r="G295" s="24">
        <f>SUM(G293:G294)</f>
        <v>4</v>
      </c>
      <c r="H295" s="24">
        <f>SUM(H293:H294)</f>
        <v>41</v>
      </c>
      <c r="I295" s="40">
        <f>SUM(F295:H295)</f>
        <v>84</v>
      </c>
      <c r="J295" s="24">
        <f aca="true" t="shared" si="88" ref="J295:O295">SUM(J293:J294)</f>
        <v>35</v>
      </c>
      <c r="K295" s="24">
        <f t="shared" si="88"/>
        <v>0</v>
      </c>
      <c r="L295" s="24">
        <f t="shared" si="88"/>
        <v>10</v>
      </c>
      <c r="M295" s="24">
        <f t="shared" si="88"/>
        <v>3</v>
      </c>
      <c r="N295" s="24">
        <f t="shared" si="88"/>
        <v>0</v>
      </c>
      <c r="O295" s="24">
        <f t="shared" si="88"/>
        <v>10</v>
      </c>
      <c r="P295" s="24">
        <f>SUM(J295:O295)</f>
        <v>58</v>
      </c>
      <c r="Q295" s="24">
        <f>SUM(Q293:Q294)</f>
        <v>0</v>
      </c>
      <c r="R295" s="24">
        <f>SUM(R293:R294)</f>
        <v>26</v>
      </c>
      <c r="S295" s="24">
        <f>SUM(S293:S294)</f>
        <v>0</v>
      </c>
      <c r="T295" s="24">
        <f>SUM(T293:T294)</f>
        <v>0</v>
      </c>
      <c r="U295" s="24">
        <f>SUM(U293:U294)</f>
        <v>69</v>
      </c>
      <c r="V295" s="26">
        <f>IF(I295-Q295=0,"",IF(D295="",(P295+S295)/(I295-Q295),IF(AND(D295&lt;&gt;"",(P295+S295)/(I295-Q295)&gt;=50%),(P295+S295)/(I295-Q295),"")))</f>
        <v>0.6904761904761905</v>
      </c>
      <c r="W295" s="26">
        <f>IF(I295=O295,"",IF(V295="",0,(P295+Q295+S295-O295)/(I295-O295)))</f>
        <v>0.6486486486486487</v>
      </c>
      <c r="X295" s="30"/>
      <c r="Y295" s="30"/>
      <c r="Z295" s="30"/>
      <c r="AA295" s="30"/>
      <c r="AB295" s="34"/>
      <c r="AC295" s="30"/>
      <c r="AD295" s="30"/>
      <c r="AE295" s="30"/>
      <c r="AF295" s="30"/>
      <c r="AG295" s="30"/>
      <c r="AH295" s="30"/>
      <c r="AI295" s="30"/>
      <c r="AJ295" s="30"/>
      <c r="AK295" s="30"/>
      <c r="AL295" s="30"/>
      <c r="AM295" s="30"/>
      <c r="AN295" s="30"/>
      <c r="AO295" s="30"/>
    </row>
    <row r="296" spans="1:41" s="39" customFormat="1" ht="20.25" customHeight="1">
      <c r="A296" s="32"/>
      <c r="B296" s="107" t="s">
        <v>100</v>
      </c>
      <c r="C296" s="14" t="s">
        <v>2</v>
      </c>
      <c r="D296" s="15" t="s">
        <v>43</v>
      </c>
      <c r="E296" s="16" t="s">
        <v>222</v>
      </c>
      <c r="F296" s="15"/>
      <c r="G296" s="15"/>
      <c r="H296" s="15"/>
      <c r="I296" s="17"/>
      <c r="J296" s="15"/>
      <c r="K296" s="15"/>
      <c r="L296" s="15"/>
      <c r="M296" s="15"/>
      <c r="N296" s="15"/>
      <c r="O296" s="15"/>
      <c r="P296" s="15"/>
      <c r="Q296" s="15"/>
      <c r="R296" s="15"/>
      <c r="S296" s="15"/>
      <c r="T296" s="15"/>
      <c r="U296" s="15"/>
      <c r="V296" s="18"/>
      <c r="W296" s="18"/>
      <c r="X296" s="30"/>
      <c r="Y296" s="30"/>
      <c r="Z296" s="30"/>
      <c r="AA296" s="30"/>
      <c r="AB296" s="34"/>
      <c r="AC296" s="30"/>
      <c r="AD296" s="30"/>
      <c r="AE296" s="30"/>
      <c r="AF296" s="30"/>
      <c r="AG296" s="30"/>
      <c r="AH296" s="30"/>
      <c r="AI296" s="30"/>
      <c r="AJ296" s="30"/>
      <c r="AK296" s="30"/>
      <c r="AL296" s="30"/>
      <c r="AM296" s="30"/>
      <c r="AN296" s="30"/>
      <c r="AO296" s="30"/>
    </row>
    <row r="297" spans="1:41" s="39" customFormat="1" ht="18.75" customHeight="1">
      <c r="A297" s="32">
        <v>4</v>
      </c>
      <c r="B297" s="107"/>
      <c r="C297" s="20" t="str">
        <f>IF(A297="","VARA",VLOOKUP(A297,'[1]varas'!$A$4:$B$67,2))</f>
        <v>4ª VT Recife</v>
      </c>
      <c r="D297" s="15"/>
      <c r="E297" s="16"/>
      <c r="F297" s="15">
        <f>40+23+20</f>
        <v>83</v>
      </c>
      <c r="G297" s="15">
        <v>7</v>
      </c>
      <c r="H297" s="15">
        <v>0</v>
      </c>
      <c r="I297" s="17">
        <f>SUM(F297:H297)</f>
        <v>90</v>
      </c>
      <c r="J297" s="15">
        <v>45</v>
      </c>
      <c r="K297" s="15">
        <v>2</v>
      </c>
      <c r="L297" s="15">
        <v>16</v>
      </c>
      <c r="M297" s="15">
        <v>4</v>
      </c>
      <c r="N297" s="15">
        <v>0</v>
      </c>
      <c r="O297" s="15">
        <v>23</v>
      </c>
      <c r="P297" s="15">
        <f>SUM(J297:O297)</f>
        <v>90</v>
      </c>
      <c r="Q297" s="15">
        <v>0</v>
      </c>
      <c r="R297" s="15">
        <v>0</v>
      </c>
      <c r="S297" s="15">
        <v>0</v>
      </c>
      <c r="T297" s="15">
        <v>0</v>
      </c>
      <c r="U297" s="15">
        <v>118</v>
      </c>
      <c r="V297" s="18"/>
      <c r="W297" s="18"/>
      <c r="X297" s="30"/>
      <c r="Y297" s="30"/>
      <c r="Z297" s="30"/>
      <c r="AA297" s="30"/>
      <c r="AB297" s="34"/>
      <c r="AC297" s="30"/>
      <c r="AD297" s="30"/>
      <c r="AE297" s="30"/>
      <c r="AF297" s="30"/>
      <c r="AG297" s="30"/>
      <c r="AH297" s="30"/>
      <c r="AI297" s="30"/>
      <c r="AJ297" s="30"/>
      <c r="AK297" s="30"/>
      <c r="AL297" s="30"/>
      <c r="AM297" s="30"/>
      <c r="AN297" s="30"/>
      <c r="AO297" s="30"/>
    </row>
    <row r="298" spans="1:41" s="39" customFormat="1" ht="17.25" customHeight="1">
      <c r="A298" s="32">
        <v>38</v>
      </c>
      <c r="B298" s="107"/>
      <c r="C298" s="20" t="str">
        <f>IF(A298="","VARA",VLOOKUP(A298,'[1]varas'!$A$4:$B$67,2))</f>
        <v>1ª VT Olinda</v>
      </c>
      <c r="D298" s="15"/>
      <c r="E298" s="16"/>
      <c r="F298" s="15">
        <v>0</v>
      </c>
      <c r="G298" s="15">
        <v>3</v>
      </c>
      <c r="H298" s="15">
        <v>0</v>
      </c>
      <c r="I298" s="17">
        <f>SUM(F298:H298)</f>
        <v>3</v>
      </c>
      <c r="J298" s="15">
        <v>3</v>
      </c>
      <c r="K298" s="15">
        <v>0</v>
      </c>
      <c r="L298" s="15">
        <v>0</v>
      </c>
      <c r="M298" s="15">
        <v>0</v>
      </c>
      <c r="N298" s="15">
        <v>0</v>
      </c>
      <c r="O298" s="15">
        <v>0</v>
      </c>
      <c r="P298" s="15">
        <f>SUM(J298:O298)</f>
        <v>3</v>
      </c>
      <c r="Q298" s="15">
        <v>0</v>
      </c>
      <c r="R298" s="15">
        <v>0</v>
      </c>
      <c r="S298" s="15">
        <v>0</v>
      </c>
      <c r="T298" s="15">
        <v>0</v>
      </c>
      <c r="U298" s="15">
        <v>0</v>
      </c>
      <c r="V298" s="18"/>
      <c r="W298" s="18"/>
      <c r="X298" s="30"/>
      <c r="Y298" s="30"/>
      <c r="Z298" s="30"/>
      <c r="AA298" s="30"/>
      <c r="AB298" s="34"/>
      <c r="AC298" s="30"/>
      <c r="AD298" s="30"/>
      <c r="AE298" s="30"/>
      <c r="AF298" s="30"/>
      <c r="AG298" s="30"/>
      <c r="AH298" s="30"/>
      <c r="AI298" s="30"/>
      <c r="AJ298" s="30"/>
      <c r="AK298" s="30"/>
      <c r="AL298" s="30"/>
      <c r="AM298" s="30"/>
      <c r="AN298" s="30"/>
      <c r="AO298" s="30"/>
    </row>
    <row r="299" spans="1:41" s="39" customFormat="1" ht="20.25" customHeight="1">
      <c r="A299" s="32"/>
      <c r="B299" s="107"/>
      <c r="C299" s="21" t="s">
        <v>12</v>
      </c>
      <c r="D299" s="33"/>
      <c r="E299" s="23"/>
      <c r="F299" s="24">
        <f>SUM(F296:F298)</f>
        <v>83</v>
      </c>
      <c r="G299" s="24">
        <f>SUM(G296:G298)</f>
        <v>10</v>
      </c>
      <c r="H299" s="24">
        <f>SUM(H296:H298)</f>
        <v>0</v>
      </c>
      <c r="I299" s="40">
        <f>SUM(F299:H299)</f>
        <v>93</v>
      </c>
      <c r="J299" s="24">
        <f aca="true" t="shared" si="89" ref="J299:O299">SUM(J296:J298)</f>
        <v>48</v>
      </c>
      <c r="K299" s="24">
        <f t="shared" si="89"/>
        <v>2</v>
      </c>
      <c r="L299" s="24">
        <f t="shared" si="89"/>
        <v>16</v>
      </c>
      <c r="M299" s="24">
        <f t="shared" si="89"/>
        <v>4</v>
      </c>
      <c r="N299" s="24">
        <f t="shared" si="89"/>
        <v>0</v>
      </c>
      <c r="O299" s="24">
        <f t="shared" si="89"/>
        <v>23</v>
      </c>
      <c r="P299" s="24">
        <f>SUM(J299:O299)</f>
        <v>93</v>
      </c>
      <c r="Q299" s="24">
        <f>SUM(Q296:Q298)</f>
        <v>0</v>
      </c>
      <c r="R299" s="24">
        <f>SUM(R296:R298)</f>
        <v>0</v>
      </c>
      <c r="S299" s="24">
        <f>SUM(S296:S298)</f>
        <v>0</v>
      </c>
      <c r="T299" s="24">
        <f>SUM(T296:T298)</f>
        <v>0</v>
      </c>
      <c r="U299" s="24">
        <f>SUM(U296:U298)</f>
        <v>118</v>
      </c>
      <c r="V299" s="26">
        <f>IF(I299-Q299=0,"",IF(D299="",(P299+S299)/(I299-Q299),IF(AND(D299&lt;&gt;"",(P299+S299)/(I299-Q299)&gt;=50%),(P299+S299)/(I299-Q299),"")))</f>
        <v>1</v>
      </c>
      <c r="W299" s="26">
        <f>IF(I299=O299,"",IF(V299="",0,(P299+Q299+S299-O299)/(I299-O299)))</f>
        <v>1</v>
      </c>
      <c r="X299" s="30"/>
      <c r="Y299" s="30"/>
      <c r="Z299" s="30"/>
      <c r="AA299" s="30"/>
      <c r="AB299" s="34"/>
      <c r="AC299" s="30"/>
      <c r="AD299" s="30"/>
      <c r="AE299" s="30"/>
      <c r="AF299" s="30"/>
      <c r="AG299" s="30"/>
      <c r="AH299" s="30"/>
      <c r="AI299" s="30"/>
      <c r="AJ299" s="30"/>
      <c r="AK299" s="30"/>
      <c r="AL299" s="30"/>
      <c r="AM299" s="30"/>
      <c r="AN299" s="30"/>
      <c r="AO299" s="30"/>
    </row>
    <row r="300" spans="1:41" s="39" customFormat="1" ht="18.75" customHeight="1">
      <c r="A300" s="32"/>
      <c r="B300" s="107" t="s">
        <v>101</v>
      </c>
      <c r="C300" s="14" t="s">
        <v>2</v>
      </c>
      <c r="D300" s="29" t="s">
        <v>30</v>
      </c>
      <c r="E300" s="16" t="s">
        <v>177</v>
      </c>
      <c r="F300" s="15"/>
      <c r="G300" s="15"/>
      <c r="H300" s="15"/>
      <c r="I300" s="17"/>
      <c r="J300" s="15"/>
      <c r="K300" s="15"/>
      <c r="L300" s="15"/>
      <c r="M300" s="15"/>
      <c r="N300" s="15"/>
      <c r="O300" s="15"/>
      <c r="P300" s="15"/>
      <c r="Q300" s="15"/>
      <c r="R300" s="15"/>
      <c r="S300" s="15"/>
      <c r="T300" s="15"/>
      <c r="U300" s="15"/>
      <c r="V300" s="18"/>
      <c r="W300" s="18"/>
      <c r="X300" s="30"/>
      <c r="Y300" s="30"/>
      <c r="Z300" s="30"/>
      <c r="AA300" s="30"/>
      <c r="AB300" s="34"/>
      <c r="AC300" s="30"/>
      <c r="AD300" s="30"/>
      <c r="AE300" s="30"/>
      <c r="AF300" s="30"/>
      <c r="AG300" s="30"/>
      <c r="AH300" s="30"/>
      <c r="AI300" s="30"/>
      <c r="AJ300" s="30"/>
      <c r="AK300" s="30"/>
      <c r="AL300" s="30"/>
      <c r="AM300" s="30"/>
      <c r="AN300" s="30"/>
      <c r="AO300" s="30"/>
    </row>
    <row r="301" spans="1:41" s="39" customFormat="1" ht="18.75" customHeight="1">
      <c r="A301" s="32">
        <v>39</v>
      </c>
      <c r="B301" s="107"/>
      <c r="C301" s="20" t="str">
        <f>IF(A301="","VARA",VLOOKUP(A301,'[1]varas'!$A$4:$B$67,2))</f>
        <v>2ª VT Olinda</v>
      </c>
      <c r="D301" s="15"/>
      <c r="E301" s="16"/>
      <c r="F301" s="15">
        <f>9+48+2</f>
        <v>59</v>
      </c>
      <c r="G301" s="15">
        <v>1</v>
      </c>
      <c r="H301" s="15">
        <v>0</v>
      </c>
      <c r="I301" s="17">
        <f>SUM(F301:H301)</f>
        <v>60</v>
      </c>
      <c r="J301" s="15">
        <v>0</v>
      </c>
      <c r="K301" s="15">
        <v>8</v>
      </c>
      <c r="L301" s="15">
        <v>2</v>
      </c>
      <c r="M301" s="15">
        <v>0</v>
      </c>
      <c r="N301" s="15">
        <v>0</v>
      </c>
      <c r="O301" s="15">
        <v>48</v>
      </c>
      <c r="P301" s="15">
        <f>SUM(J301:O301)</f>
        <v>58</v>
      </c>
      <c r="Q301" s="15">
        <v>2</v>
      </c>
      <c r="R301" s="15">
        <v>0</v>
      </c>
      <c r="S301" s="15">
        <v>0</v>
      </c>
      <c r="T301" s="15">
        <v>0</v>
      </c>
      <c r="U301" s="15">
        <v>125</v>
      </c>
      <c r="V301" s="18"/>
      <c r="W301" s="18"/>
      <c r="X301" s="30"/>
      <c r="Y301" s="30"/>
      <c r="Z301" s="30"/>
      <c r="AA301" s="30"/>
      <c r="AB301" s="34"/>
      <c r="AC301" s="30"/>
      <c r="AD301" s="30"/>
      <c r="AE301" s="30"/>
      <c r="AF301" s="30"/>
      <c r="AG301" s="30"/>
      <c r="AH301" s="30"/>
      <c r="AI301" s="30"/>
      <c r="AJ301" s="30"/>
      <c r="AK301" s="30"/>
      <c r="AL301" s="30"/>
      <c r="AM301" s="30"/>
      <c r="AN301" s="30"/>
      <c r="AO301" s="30"/>
    </row>
    <row r="302" spans="1:41" s="53" customFormat="1" ht="18.75" customHeight="1">
      <c r="A302" s="47"/>
      <c r="B302" s="107"/>
      <c r="C302" s="21" t="s">
        <v>12</v>
      </c>
      <c r="D302" s="51"/>
      <c r="E302" s="52"/>
      <c r="F302" s="24">
        <f>SUM(F300:F301)</f>
        <v>59</v>
      </c>
      <c r="G302" s="24">
        <f>SUM(G300:G301)</f>
        <v>1</v>
      </c>
      <c r="H302" s="24">
        <f>SUM(H300:H301)</f>
        <v>0</v>
      </c>
      <c r="I302" s="25">
        <f>SUM(F302:H302)</f>
        <v>60</v>
      </c>
      <c r="J302" s="24">
        <f aca="true" t="shared" si="90" ref="J302:O302">SUM(J300:J301)</f>
        <v>0</v>
      </c>
      <c r="K302" s="24">
        <f t="shared" si="90"/>
        <v>8</v>
      </c>
      <c r="L302" s="24">
        <f t="shared" si="90"/>
        <v>2</v>
      </c>
      <c r="M302" s="24">
        <f t="shared" si="90"/>
        <v>0</v>
      </c>
      <c r="N302" s="24">
        <f t="shared" si="90"/>
        <v>0</v>
      </c>
      <c r="O302" s="24">
        <f t="shared" si="90"/>
        <v>48</v>
      </c>
      <c r="P302" s="24">
        <f>SUM(J302:O302)</f>
        <v>58</v>
      </c>
      <c r="Q302" s="24">
        <f>SUM(Q300:Q301)</f>
        <v>2</v>
      </c>
      <c r="R302" s="24">
        <f>SUM(R300:R301)</f>
        <v>0</v>
      </c>
      <c r="S302" s="24">
        <f>SUM(S300:S301)</f>
        <v>0</v>
      </c>
      <c r="T302" s="24">
        <f>SUM(T300:T301)</f>
        <v>0</v>
      </c>
      <c r="U302" s="24">
        <f>SUM(U300:U301)</f>
        <v>125</v>
      </c>
      <c r="V302" s="26">
        <f>IF(I302-Q302=0,"",IF(D302="",(P302+S302)/(I302-Q302),IF(AND(D302&lt;&gt;"",(P302+S302)/(I302-Q302)&gt;=50%),(P302+S302)/(I302-Q302),"")))</f>
        <v>1</v>
      </c>
      <c r="W302" s="26">
        <f>IF(I302=O302,"",IF(V302="",0,(P302+Q302+S302-O302)/(I302-O302)))</f>
        <v>1</v>
      </c>
      <c r="X302" s="49"/>
      <c r="Y302" s="49"/>
      <c r="Z302" s="49"/>
      <c r="AA302" s="49"/>
      <c r="AB302" s="50"/>
      <c r="AC302" s="49"/>
      <c r="AD302" s="49"/>
      <c r="AE302" s="49"/>
      <c r="AF302" s="49"/>
      <c r="AG302" s="49"/>
      <c r="AH302" s="49"/>
      <c r="AI302" s="49"/>
      <c r="AJ302" s="49"/>
      <c r="AK302" s="49"/>
      <c r="AL302" s="49"/>
      <c r="AM302" s="49"/>
      <c r="AN302" s="49"/>
      <c r="AO302" s="49"/>
    </row>
    <row r="303" spans="1:41" s="39" customFormat="1" ht="20.25" customHeight="1">
      <c r="A303" s="32"/>
      <c r="B303" s="107" t="s">
        <v>102</v>
      </c>
      <c r="C303" s="14" t="s">
        <v>2</v>
      </c>
      <c r="D303" s="15" t="s">
        <v>30</v>
      </c>
      <c r="E303" s="16" t="s">
        <v>201</v>
      </c>
      <c r="F303" s="15"/>
      <c r="G303" s="15"/>
      <c r="H303" s="15"/>
      <c r="I303" s="17"/>
      <c r="J303" s="15"/>
      <c r="K303" s="15"/>
      <c r="L303" s="15"/>
      <c r="M303" s="15"/>
      <c r="N303" s="15"/>
      <c r="O303" s="15"/>
      <c r="P303" s="15"/>
      <c r="Q303" s="15"/>
      <c r="R303" s="15"/>
      <c r="S303" s="15"/>
      <c r="T303" s="15"/>
      <c r="U303" s="15"/>
      <c r="V303" s="18"/>
      <c r="W303" s="18"/>
      <c r="X303" s="30"/>
      <c r="Y303" s="30"/>
      <c r="Z303" s="30"/>
      <c r="AA303" s="30"/>
      <c r="AB303" s="34"/>
      <c r="AC303" s="30"/>
      <c r="AD303" s="30"/>
      <c r="AE303" s="30"/>
      <c r="AF303" s="30"/>
      <c r="AG303" s="30"/>
      <c r="AH303" s="30"/>
      <c r="AI303" s="30"/>
      <c r="AJ303" s="30"/>
      <c r="AK303" s="30"/>
      <c r="AL303" s="30"/>
      <c r="AM303" s="30"/>
      <c r="AN303" s="30"/>
      <c r="AO303" s="30"/>
    </row>
    <row r="304" spans="1:41" s="39" customFormat="1" ht="17.25" customHeight="1">
      <c r="A304" s="32">
        <v>19</v>
      </c>
      <c r="B304" s="107"/>
      <c r="C304" s="20" t="str">
        <f>IF(A304="","VARA",VLOOKUP(A304,'[1]varas'!$A$4:$B$67,2))</f>
        <v>19ª VT Recife</v>
      </c>
      <c r="D304" s="15"/>
      <c r="E304" s="16"/>
      <c r="F304" s="15">
        <v>0</v>
      </c>
      <c r="G304" s="15">
        <v>8</v>
      </c>
      <c r="H304" s="15">
        <v>106</v>
      </c>
      <c r="I304" s="17">
        <f>SUM(F304:H304)</f>
        <v>114</v>
      </c>
      <c r="J304" s="15">
        <v>0</v>
      </c>
      <c r="K304" s="15">
        <v>0</v>
      </c>
      <c r="L304" s="15">
        <v>0</v>
      </c>
      <c r="M304" s="15">
        <v>0</v>
      </c>
      <c r="N304" s="15">
        <v>0</v>
      </c>
      <c r="O304" s="15">
        <v>0</v>
      </c>
      <c r="P304" s="15">
        <f>SUM(J304:O304)</f>
        <v>0</v>
      </c>
      <c r="Q304" s="15">
        <v>8</v>
      </c>
      <c r="R304" s="15">
        <v>106</v>
      </c>
      <c r="S304" s="15">
        <v>0</v>
      </c>
      <c r="T304" s="15">
        <v>0</v>
      </c>
      <c r="U304" s="15">
        <v>0</v>
      </c>
      <c r="V304" s="18"/>
      <c r="W304" s="18"/>
      <c r="X304" s="30"/>
      <c r="Y304" s="30"/>
      <c r="Z304" s="30"/>
      <c r="AA304" s="30"/>
      <c r="AB304" s="34"/>
      <c r="AC304" s="30"/>
      <c r="AD304" s="30"/>
      <c r="AE304" s="30"/>
      <c r="AF304" s="30"/>
      <c r="AG304" s="30"/>
      <c r="AH304" s="30"/>
      <c r="AI304" s="30"/>
      <c r="AJ304" s="30"/>
      <c r="AK304" s="30"/>
      <c r="AL304" s="30"/>
      <c r="AM304" s="30"/>
      <c r="AN304" s="30"/>
      <c r="AO304" s="30"/>
    </row>
    <row r="305" spans="1:41" s="39" customFormat="1" ht="17.25" customHeight="1">
      <c r="A305" s="32"/>
      <c r="B305" s="107"/>
      <c r="C305" s="21" t="s">
        <v>12</v>
      </c>
      <c r="D305" s="33"/>
      <c r="E305" s="23"/>
      <c r="F305" s="24">
        <f>SUM(F303:F304)</f>
        <v>0</v>
      </c>
      <c r="G305" s="24">
        <f>SUM(G303:G304)</f>
        <v>8</v>
      </c>
      <c r="H305" s="24">
        <f>SUM(H303:H304)</f>
        <v>106</v>
      </c>
      <c r="I305" s="40">
        <f>SUM(F305:H305)</f>
        <v>114</v>
      </c>
      <c r="J305" s="24">
        <f aca="true" t="shared" si="91" ref="J305:O305">SUM(J303:J304)</f>
        <v>0</v>
      </c>
      <c r="K305" s="24">
        <f t="shared" si="91"/>
        <v>0</v>
      </c>
      <c r="L305" s="24">
        <f t="shared" si="91"/>
        <v>0</v>
      </c>
      <c r="M305" s="24">
        <f t="shared" si="91"/>
        <v>0</v>
      </c>
      <c r="N305" s="24">
        <f t="shared" si="91"/>
        <v>0</v>
      </c>
      <c r="O305" s="24">
        <f t="shared" si="91"/>
        <v>0</v>
      </c>
      <c r="P305" s="24">
        <f>SUM(J305:O305)</f>
        <v>0</v>
      </c>
      <c r="Q305" s="24">
        <f>SUM(Q303:Q304)</f>
        <v>8</v>
      </c>
      <c r="R305" s="24">
        <f>SUM(R303:R304)</f>
        <v>106</v>
      </c>
      <c r="S305" s="24">
        <f>SUM(S303:S304)</f>
        <v>0</v>
      </c>
      <c r="T305" s="24">
        <f>SUM(T303:T304)</f>
        <v>0</v>
      </c>
      <c r="U305" s="24">
        <f>SUM(U303:U304)</f>
        <v>0</v>
      </c>
      <c r="V305" s="26">
        <f>IF(I305-Q305=0,"",IF(D305="",(P305+S305)/(I305-Q305),IF(AND(D305&lt;&gt;"",(P305+S305)/(I305-Q305)&gt;=50%),(P305+S305)/(I305-Q305),"")))</f>
        <v>0</v>
      </c>
      <c r="W305" s="26">
        <f>IF(I305=O305,"",IF(V305="",0,(P305+Q305+S305-O305)/(I305-O305)))</f>
        <v>0.07017543859649122</v>
      </c>
      <c r="X305" s="30"/>
      <c r="Y305" s="30"/>
      <c r="Z305" s="30"/>
      <c r="AA305" s="30"/>
      <c r="AB305" s="34"/>
      <c r="AC305" s="30"/>
      <c r="AD305" s="30"/>
      <c r="AE305" s="30"/>
      <c r="AF305" s="30"/>
      <c r="AG305" s="30"/>
      <c r="AH305" s="30"/>
      <c r="AI305" s="30"/>
      <c r="AJ305" s="30"/>
      <c r="AK305" s="30"/>
      <c r="AL305" s="30"/>
      <c r="AM305" s="30"/>
      <c r="AN305" s="30"/>
      <c r="AO305" s="30"/>
    </row>
    <row r="306" spans="1:41" s="39" customFormat="1" ht="23.25" customHeight="1">
      <c r="A306" s="32"/>
      <c r="B306" s="107" t="s">
        <v>103</v>
      </c>
      <c r="C306" s="14" t="s">
        <v>2</v>
      </c>
      <c r="D306" s="29" t="s">
        <v>223</v>
      </c>
      <c r="E306" s="16" t="s">
        <v>224</v>
      </c>
      <c r="F306" s="15"/>
      <c r="G306" s="15"/>
      <c r="H306" s="15"/>
      <c r="I306" s="17"/>
      <c r="J306" s="15"/>
      <c r="K306" s="15"/>
      <c r="L306" s="15"/>
      <c r="M306" s="15"/>
      <c r="N306" s="15"/>
      <c r="O306" s="15"/>
      <c r="P306" s="15"/>
      <c r="Q306" s="15"/>
      <c r="R306" s="15"/>
      <c r="S306" s="15"/>
      <c r="T306" s="15"/>
      <c r="U306" s="15"/>
      <c r="V306" s="18"/>
      <c r="W306" s="18"/>
      <c r="X306" s="30"/>
      <c r="Y306" s="30"/>
      <c r="Z306" s="30"/>
      <c r="AA306" s="30"/>
      <c r="AB306" s="34"/>
      <c r="AC306" s="30"/>
      <c r="AD306" s="30"/>
      <c r="AE306" s="30"/>
      <c r="AF306" s="30"/>
      <c r="AG306" s="30"/>
      <c r="AH306" s="30"/>
      <c r="AI306" s="30"/>
      <c r="AJ306" s="30"/>
      <c r="AK306" s="30"/>
      <c r="AL306" s="30"/>
      <c r="AM306" s="30"/>
      <c r="AN306" s="30"/>
      <c r="AO306" s="30"/>
    </row>
    <row r="307" spans="1:41" s="39" customFormat="1" ht="15" customHeight="1">
      <c r="A307" s="32">
        <v>38</v>
      </c>
      <c r="B307" s="107"/>
      <c r="C307" s="20" t="str">
        <f>IF(A307="","VARA",VLOOKUP(A307,'[1]varas'!$A$4:$B$67,2))</f>
        <v>1ª VT Olinda</v>
      </c>
      <c r="D307" s="29"/>
      <c r="E307" s="16"/>
      <c r="F307" s="15">
        <f>18+17+3</f>
        <v>38</v>
      </c>
      <c r="G307" s="15">
        <v>0</v>
      </c>
      <c r="H307" s="15">
        <v>0</v>
      </c>
      <c r="I307" s="17">
        <f>SUM(F307:H307)</f>
        <v>38</v>
      </c>
      <c r="J307" s="15">
        <v>12</v>
      </c>
      <c r="K307" s="15">
        <v>6</v>
      </c>
      <c r="L307" s="15">
        <v>1</v>
      </c>
      <c r="M307" s="15">
        <v>2</v>
      </c>
      <c r="N307" s="15">
        <v>0</v>
      </c>
      <c r="O307" s="15">
        <v>17</v>
      </c>
      <c r="P307" s="15">
        <f>SUM(J307:O307)</f>
        <v>38</v>
      </c>
      <c r="Q307" s="15">
        <v>0</v>
      </c>
      <c r="R307" s="15">
        <v>0</v>
      </c>
      <c r="S307" s="15">
        <v>0</v>
      </c>
      <c r="T307" s="15">
        <v>0</v>
      </c>
      <c r="U307" s="15">
        <v>70</v>
      </c>
      <c r="V307" s="18"/>
      <c r="W307" s="18"/>
      <c r="X307" s="30"/>
      <c r="Y307" s="30"/>
      <c r="Z307" s="30"/>
      <c r="AA307" s="30"/>
      <c r="AB307" s="34"/>
      <c r="AC307" s="30"/>
      <c r="AD307" s="30"/>
      <c r="AE307" s="30"/>
      <c r="AF307" s="30"/>
      <c r="AG307" s="30"/>
      <c r="AH307" s="30"/>
      <c r="AI307" s="30"/>
      <c r="AJ307" s="30"/>
      <c r="AK307" s="30"/>
      <c r="AL307" s="30"/>
      <c r="AM307" s="30"/>
      <c r="AN307" s="30"/>
      <c r="AO307" s="30"/>
    </row>
    <row r="308" spans="1:41" s="53" customFormat="1" ht="16.5" customHeight="1">
      <c r="A308" s="47"/>
      <c r="B308" s="107"/>
      <c r="C308" s="21" t="s">
        <v>12</v>
      </c>
      <c r="D308" s="51"/>
      <c r="E308" s="52"/>
      <c r="F308" s="24">
        <f>SUM(F306:F307)</f>
        <v>38</v>
      </c>
      <c r="G308" s="24">
        <f>SUM(G306:G307)</f>
        <v>0</v>
      </c>
      <c r="H308" s="24">
        <f>SUM(H306:H307)</f>
        <v>0</v>
      </c>
      <c r="I308" s="25">
        <f>SUM(F308:H308)</f>
        <v>38</v>
      </c>
      <c r="J308" s="24">
        <f aca="true" t="shared" si="92" ref="J308:O308">SUM(J306:J307)</f>
        <v>12</v>
      </c>
      <c r="K308" s="24">
        <f t="shared" si="92"/>
        <v>6</v>
      </c>
      <c r="L308" s="24">
        <f t="shared" si="92"/>
        <v>1</v>
      </c>
      <c r="M308" s="24">
        <f t="shared" si="92"/>
        <v>2</v>
      </c>
      <c r="N308" s="24">
        <f t="shared" si="92"/>
        <v>0</v>
      </c>
      <c r="O308" s="24">
        <f t="shared" si="92"/>
        <v>17</v>
      </c>
      <c r="P308" s="24">
        <f>SUM(J308:O308)</f>
        <v>38</v>
      </c>
      <c r="Q308" s="24">
        <f>SUM(Q306:Q307)</f>
        <v>0</v>
      </c>
      <c r="R308" s="24">
        <f>SUM(R306:R307)</f>
        <v>0</v>
      </c>
      <c r="S308" s="24">
        <f>SUM(S306:S307)</f>
        <v>0</v>
      </c>
      <c r="T308" s="24">
        <f>SUM(T306:T307)</f>
        <v>0</v>
      </c>
      <c r="U308" s="24">
        <f>SUM(U306:U307)</f>
        <v>70</v>
      </c>
      <c r="V308" s="26">
        <f>IF(I308-Q308=0,"",IF(D308="",(P308+S308)/(I308-Q308),IF(AND(D308&lt;&gt;"",(P308+S308)/(I308-Q308)&gt;=50%),(P308+S308)/(I308-Q308),"")))</f>
        <v>1</v>
      </c>
      <c r="W308" s="26">
        <f>IF(I308=O308,"",IF(V308="",0,(P308+Q308+S308-O308)/(I308-O308)))</f>
        <v>1</v>
      </c>
      <c r="X308" s="49"/>
      <c r="Y308" s="49"/>
      <c r="Z308" s="49"/>
      <c r="AA308" s="49"/>
      <c r="AB308" s="50"/>
      <c r="AC308" s="49"/>
      <c r="AD308" s="49"/>
      <c r="AE308" s="49"/>
      <c r="AF308" s="49"/>
      <c r="AG308" s="49"/>
      <c r="AH308" s="49"/>
      <c r="AI308" s="49"/>
      <c r="AJ308" s="49"/>
      <c r="AK308" s="49"/>
      <c r="AL308" s="49"/>
      <c r="AM308" s="49"/>
      <c r="AN308" s="49"/>
      <c r="AO308" s="49"/>
    </row>
    <row r="309" spans="1:41" s="39" customFormat="1" ht="18.75" customHeight="1">
      <c r="A309" s="32"/>
      <c r="B309" s="107" t="s">
        <v>104</v>
      </c>
      <c r="C309" s="14" t="s">
        <v>2</v>
      </c>
      <c r="D309" s="15" t="s">
        <v>30</v>
      </c>
      <c r="E309" s="16" t="s">
        <v>177</v>
      </c>
      <c r="F309" s="15"/>
      <c r="G309" s="15"/>
      <c r="H309" s="15"/>
      <c r="I309" s="17"/>
      <c r="J309" s="15"/>
      <c r="K309" s="15"/>
      <c r="L309" s="15"/>
      <c r="M309" s="15"/>
      <c r="N309" s="15"/>
      <c r="O309" s="15"/>
      <c r="P309" s="15"/>
      <c r="Q309" s="15"/>
      <c r="R309" s="15"/>
      <c r="S309" s="15"/>
      <c r="T309" s="15"/>
      <c r="U309" s="15"/>
      <c r="V309" s="18"/>
      <c r="W309" s="18"/>
      <c r="X309" s="30"/>
      <c r="Y309" s="30"/>
      <c r="Z309" s="30"/>
      <c r="AA309" s="30"/>
      <c r="AB309" s="34"/>
      <c r="AC309" s="30"/>
      <c r="AD309" s="30"/>
      <c r="AE309" s="30"/>
      <c r="AF309" s="30"/>
      <c r="AG309" s="30"/>
      <c r="AH309" s="30"/>
      <c r="AI309" s="30"/>
      <c r="AJ309" s="30"/>
      <c r="AK309" s="30"/>
      <c r="AL309" s="30"/>
      <c r="AM309" s="30"/>
      <c r="AN309" s="30"/>
      <c r="AO309" s="30"/>
    </row>
    <row r="310" spans="1:41" s="39" customFormat="1" ht="18.75" customHeight="1">
      <c r="A310" s="32">
        <v>36</v>
      </c>
      <c r="B310" s="107"/>
      <c r="C310" s="20" t="str">
        <f>IF(A310="","VARA",VLOOKUP(A310,'[1]varas'!$A$4:$B$67,2))</f>
        <v>3ª VT Jaboatão</v>
      </c>
      <c r="D310" s="15"/>
      <c r="E310" s="16"/>
      <c r="F310" s="15">
        <f>42+25+7</f>
        <v>74</v>
      </c>
      <c r="G310" s="15">
        <v>7</v>
      </c>
      <c r="H310" s="15">
        <v>0</v>
      </c>
      <c r="I310" s="17">
        <f>SUM(F310:H310)</f>
        <v>81</v>
      </c>
      <c r="J310" s="15">
        <v>17</v>
      </c>
      <c r="K310" s="15">
        <v>13</v>
      </c>
      <c r="L310" s="15">
        <v>6</v>
      </c>
      <c r="M310" s="15">
        <v>1</v>
      </c>
      <c r="N310" s="15">
        <v>0</v>
      </c>
      <c r="O310" s="15">
        <v>25</v>
      </c>
      <c r="P310" s="15">
        <f>SUM(J310:O310)</f>
        <v>62</v>
      </c>
      <c r="Q310" s="15">
        <v>19</v>
      </c>
      <c r="R310" s="15">
        <v>0</v>
      </c>
      <c r="S310" s="15">
        <v>0</v>
      </c>
      <c r="T310" s="15">
        <v>0</v>
      </c>
      <c r="U310" s="15">
        <v>110</v>
      </c>
      <c r="V310" s="18"/>
      <c r="W310" s="18"/>
      <c r="X310" s="30"/>
      <c r="Y310" s="30"/>
      <c r="Z310" s="30"/>
      <c r="AA310" s="30"/>
      <c r="AB310" s="34"/>
      <c r="AC310" s="30"/>
      <c r="AD310" s="30"/>
      <c r="AE310" s="30"/>
      <c r="AF310" s="30"/>
      <c r="AG310" s="30"/>
      <c r="AH310" s="30"/>
      <c r="AI310" s="30"/>
      <c r="AJ310" s="30"/>
      <c r="AK310" s="30"/>
      <c r="AL310" s="30"/>
      <c r="AM310" s="30"/>
      <c r="AN310" s="30"/>
      <c r="AO310" s="30"/>
    </row>
    <row r="311" spans="1:41" s="39" customFormat="1" ht="17.25" customHeight="1">
      <c r="A311" s="32"/>
      <c r="B311" s="107"/>
      <c r="C311" s="21" t="s">
        <v>12</v>
      </c>
      <c r="D311" s="33"/>
      <c r="E311" s="23"/>
      <c r="F311" s="24">
        <f>SUM(F309:F310)</f>
        <v>74</v>
      </c>
      <c r="G311" s="24">
        <f>SUM(G309:G310)</f>
        <v>7</v>
      </c>
      <c r="H311" s="24">
        <f>SUM(H309:H310)</f>
        <v>0</v>
      </c>
      <c r="I311" s="40">
        <f>SUM(F311:H311)</f>
        <v>81</v>
      </c>
      <c r="J311" s="24">
        <f aca="true" t="shared" si="93" ref="J311:O311">SUM(J309:J310)</f>
        <v>17</v>
      </c>
      <c r="K311" s="24">
        <f t="shared" si="93"/>
        <v>13</v>
      </c>
      <c r="L311" s="24">
        <f t="shared" si="93"/>
        <v>6</v>
      </c>
      <c r="M311" s="24">
        <f t="shared" si="93"/>
        <v>1</v>
      </c>
      <c r="N311" s="24">
        <f t="shared" si="93"/>
        <v>0</v>
      </c>
      <c r="O311" s="24">
        <f t="shared" si="93"/>
        <v>25</v>
      </c>
      <c r="P311" s="24">
        <f>SUM(J311:O311)</f>
        <v>62</v>
      </c>
      <c r="Q311" s="24">
        <f>SUM(Q309:Q310)</f>
        <v>19</v>
      </c>
      <c r="R311" s="24">
        <f>SUM(R309:R310)</f>
        <v>0</v>
      </c>
      <c r="S311" s="24">
        <f>SUM(S309:S310)</f>
        <v>0</v>
      </c>
      <c r="T311" s="24">
        <f>SUM(T309:T310)</f>
        <v>0</v>
      </c>
      <c r="U311" s="24">
        <f>SUM(U309:U310)</f>
        <v>110</v>
      </c>
      <c r="V311" s="26">
        <f>IF(I311-Q311=0,"",IF(D311="",(P311+S311)/(I311-Q311),IF(AND(D311&lt;&gt;"",(P311+S311)/(I311-Q311)&gt;=50%),(P311+S311)/(I311-Q311),"")))</f>
        <v>1</v>
      </c>
      <c r="W311" s="26">
        <f>IF(I311=O311,"",IF(V311="",0,(P311+Q311+S311-O311)/(I311-O311)))</f>
        <v>1</v>
      </c>
      <c r="X311" s="30"/>
      <c r="Y311" s="30"/>
      <c r="Z311" s="30"/>
      <c r="AA311" s="30"/>
      <c r="AB311" s="34"/>
      <c r="AC311" s="30"/>
      <c r="AD311" s="30"/>
      <c r="AE311" s="30"/>
      <c r="AF311" s="30"/>
      <c r="AG311" s="30"/>
      <c r="AH311" s="30"/>
      <c r="AI311" s="30"/>
      <c r="AJ311" s="30"/>
      <c r="AK311" s="30"/>
      <c r="AL311" s="30"/>
      <c r="AM311" s="30"/>
      <c r="AN311" s="30"/>
      <c r="AO311" s="30"/>
    </row>
    <row r="312" spans="1:41" s="39" customFormat="1" ht="23.25" customHeight="1">
      <c r="A312" s="32"/>
      <c r="B312" s="107" t="s">
        <v>105</v>
      </c>
      <c r="C312" s="14" t="s">
        <v>2</v>
      </c>
      <c r="D312" s="15" t="s">
        <v>30</v>
      </c>
      <c r="E312" s="16" t="s">
        <v>201</v>
      </c>
      <c r="F312" s="15"/>
      <c r="G312" s="15"/>
      <c r="H312" s="15"/>
      <c r="I312" s="17"/>
      <c r="J312" s="15"/>
      <c r="K312" s="15"/>
      <c r="L312" s="15"/>
      <c r="M312" s="15"/>
      <c r="N312" s="15"/>
      <c r="O312" s="15"/>
      <c r="P312" s="15"/>
      <c r="Q312" s="15"/>
      <c r="R312" s="15"/>
      <c r="S312" s="15"/>
      <c r="T312" s="15"/>
      <c r="U312" s="15"/>
      <c r="V312" s="18"/>
      <c r="W312" s="18"/>
      <c r="X312" s="30"/>
      <c r="Y312" s="30"/>
      <c r="Z312" s="30"/>
      <c r="AA312" s="30"/>
      <c r="AB312" s="34"/>
      <c r="AC312" s="30"/>
      <c r="AD312" s="30"/>
      <c r="AE312" s="30"/>
      <c r="AF312" s="30"/>
      <c r="AG312" s="30"/>
      <c r="AH312" s="30"/>
      <c r="AI312" s="30"/>
      <c r="AJ312" s="30"/>
      <c r="AK312" s="30"/>
      <c r="AL312" s="30"/>
      <c r="AM312" s="30"/>
      <c r="AN312" s="30"/>
      <c r="AO312" s="30"/>
    </row>
    <row r="313" spans="1:41" s="39" customFormat="1" ht="18.75" customHeight="1">
      <c r="A313" s="32">
        <v>6</v>
      </c>
      <c r="B313" s="107"/>
      <c r="C313" s="20" t="str">
        <f>IF(A313="","VARA",VLOOKUP(A313,'[1]varas'!$A$4:$B$67,2))</f>
        <v>6ª VT Recife</v>
      </c>
      <c r="D313" s="15"/>
      <c r="E313" s="16"/>
      <c r="F313" s="15">
        <v>2</v>
      </c>
      <c r="G313" s="15">
        <v>5</v>
      </c>
      <c r="H313" s="15">
        <v>32</v>
      </c>
      <c r="I313" s="17">
        <f>SUM(F313:H313)</f>
        <v>39</v>
      </c>
      <c r="J313" s="15">
        <v>19</v>
      </c>
      <c r="K313" s="15">
        <v>0</v>
      </c>
      <c r="L313" s="15">
        <v>1</v>
      </c>
      <c r="M313" s="15">
        <v>0</v>
      </c>
      <c r="N313" s="15">
        <v>0</v>
      </c>
      <c r="O313" s="15">
        <v>0</v>
      </c>
      <c r="P313" s="15">
        <f>SUM(J313:O313)</f>
        <v>20</v>
      </c>
      <c r="Q313" s="15">
        <v>1</v>
      </c>
      <c r="R313" s="15">
        <v>18</v>
      </c>
      <c r="S313" s="15">
        <v>0</v>
      </c>
      <c r="T313" s="15">
        <v>0</v>
      </c>
      <c r="U313" s="15">
        <v>0</v>
      </c>
      <c r="V313" s="18"/>
      <c r="W313" s="18"/>
      <c r="X313" s="30"/>
      <c r="Y313" s="30"/>
      <c r="Z313" s="30"/>
      <c r="AA313" s="30"/>
      <c r="AB313" s="34"/>
      <c r="AC313" s="30"/>
      <c r="AD313" s="30"/>
      <c r="AE313" s="30"/>
      <c r="AF313" s="30"/>
      <c r="AG313" s="30"/>
      <c r="AH313" s="30"/>
      <c r="AI313" s="30"/>
      <c r="AJ313" s="30"/>
      <c r="AK313" s="30"/>
      <c r="AL313" s="30"/>
      <c r="AM313" s="30"/>
      <c r="AN313" s="30"/>
      <c r="AO313" s="30"/>
    </row>
    <row r="314" spans="1:41" s="53" customFormat="1" ht="18.75" customHeight="1">
      <c r="A314" s="47"/>
      <c r="B314" s="107"/>
      <c r="C314" s="21" t="s">
        <v>12</v>
      </c>
      <c r="D314" s="51"/>
      <c r="E314" s="52"/>
      <c r="F314" s="24">
        <f>SUM(F312:F313)</f>
        <v>2</v>
      </c>
      <c r="G314" s="24">
        <f>SUM(G312:G313)</f>
        <v>5</v>
      </c>
      <c r="H314" s="24">
        <f>SUM(H312:H313)</f>
        <v>32</v>
      </c>
      <c r="I314" s="25">
        <f>SUM(F314:H314)</f>
        <v>39</v>
      </c>
      <c r="J314" s="24">
        <f aca="true" t="shared" si="94" ref="J314:O314">SUM(J312:J313)</f>
        <v>19</v>
      </c>
      <c r="K314" s="24">
        <f t="shared" si="94"/>
        <v>0</v>
      </c>
      <c r="L314" s="24">
        <f t="shared" si="94"/>
        <v>1</v>
      </c>
      <c r="M314" s="24">
        <f t="shared" si="94"/>
        <v>0</v>
      </c>
      <c r="N314" s="24">
        <f t="shared" si="94"/>
        <v>0</v>
      </c>
      <c r="O314" s="24">
        <f t="shared" si="94"/>
        <v>0</v>
      </c>
      <c r="P314" s="24">
        <f>SUM(J314:O314)</f>
        <v>20</v>
      </c>
      <c r="Q314" s="24">
        <f>SUM(Q312:Q313)</f>
        <v>1</v>
      </c>
      <c r="R314" s="24">
        <f>SUM(R312:R313)</f>
        <v>18</v>
      </c>
      <c r="S314" s="24">
        <f>SUM(S312:S313)</f>
        <v>0</v>
      </c>
      <c r="T314" s="24">
        <f>SUM(T312:T313)</f>
        <v>0</v>
      </c>
      <c r="U314" s="24">
        <f>SUM(U312:U313)</f>
        <v>0</v>
      </c>
      <c r="V314" s="26">
        <f>IF(I314-Q314=0,"",IF(D314="",(P314+S314)/(I314-Q314),IF(AND(D314&lt;&gt;"",(P314+S314)/(I314-Q314)&gt;=50%),(P314+S314)/(I314-Q314),"")))</f>
        <v>0.5263157894736842</v>
      </c>
      <c r="W314" s="26">
        <f>IF(I314=O314,"",IF(V314="",0,(P314+Q314+S314-O314)/(I314-O314)))</f>
        <v>0.5384615384615384</v>
      </c>
      <c r="X314" s="49"/>
      <c r="Y314" s="49"/>
      <c r="Z314" s="49"/>
      <c r="AA314" s="49"/>
      <c r="AB314" s="50"/>
      <c r="AC314" s="49"/>
      <c r="AD314" s="49"/>
      <c r="AE314" s="49"/>
      <c r="AF314" s="49"/>
      <c r="AG314" s="49"/>
      <c r="AH314" s="49"/>
      <c r="AI314" s="49"/>
      <c r="AJ314" s="49"/>
      <c r="AK314" s="49"/>
      <c r="AL314" s="49"/>
      <c r="AM314" s="49"/>
      <c r="AN314" s="49"/>
      <c r="AO314" s="49"/>
    </row>
    <row r="315" spans="1:41" s="39" customFormat="1" ht="21" customHeight="1">
      <c r="A315" s="32"/>
      <c r="B315" s="107" t="s">
        <v>106</v>
      </c>
      <c r="C315" s="14" t="s">
        <v>161</v>
      </c>
      <c r="D315" s="29"/>
      <c r="E315" s="16" t="s">
        <v>27</v>
      </c>
      <c r="F315" s="15"/>
      <c r="G315" s="15"/>
      <c r="H315" s="15"/>
      <c r="I315" s="17"/>
      <c r="J315" s="15"/>
      <c r="K315" s="15"/>
      <c r="L315" s="15"/>
      <c r="M315" s="15"/>
      <c r="N315" s="15"/>
      <c r="O315" s="15"/>
      <c r="P315" s="15"/>
      <c r="Q315" s="15"/>
      <c r="R315" s="15"/>
      <c r="S315" s="15"/>
      <c r="T315" s="15"/>
      <c r="U315" s="15"/>
      <c r="V315" s="18"/>
      <c r="W315" s="18"/>
      <c r="X315" s="30"/>
      <c r="Y315" s="30"/>
      <c r="Z315" s="30"/>
      <c r="AA315" s="30"/>
      <c r="AB315" s="34"/>
      <c r="AC315" s="30"/>
      <c r="AD315" s="30"/>
      <c r="AE315" s="30"/>
      <c r="AF315" s="30"/>
      <c r="AG315" s="30"/>
      <c r="AH315" s="30"/>
      <c r="AI315" s="30"/>
      <c r="AJ315" s="30"/>
      <c r="AK315" s="30"/>
      <c r="AL315" s="30"/>
      <c r="AM315" s="30"/>
      <c r="AN315" s="30"/>
      <c r="AO315" s="30"/>
    </row>
    <row r="316" spans="1:41" s="39" customFormat="1" ht="18.75" customHeight="1">
      <c r="A316" s="32">
        <v>3</v>
      </c>
      <c r="B316" s="107"/>
      <c r="C316" s="20" t="str">
        <f>IF(A316="","VARA",VLOOKUP(A316,'[1]varas'!$A$4:$B$67,2))</f>
        <v>3ª VT Recife</v>
      </c>
      <c r="D316" s="29"/>
      <c r="E316" s="16"/>
      <c r="F316" s="15">
        <v>1</v>
      </c>
      <c r="G316" s="15">
        <v>0</v>
      </c>
      <c r="H316" s="15">
        <v>7</v>
      </c>
      <c r="I316" s="17">
        <f aca="true" t="shared" si="95" ref="I316:I326">SUM(F316:H316)</f>
        <v>8</v>
      </c>
      <c r="J316" s="15">
        <v>5</v>
      </c>
      <c r="K316" s="15">
        <v>1</v>
      </c>
      <c r="L316" s="15">
        <v>1</v>
      </c>
      <c r="M316" s="15">
        <v>0</v>
      </c>
      <c r="N316" s="15">
        <v>0</v>
      </c>
      <c r="O316" s="15">
        <v>0</v>
      </c>
      <c r="P316" s="15">
        <f aca="true" t="shared" si="96" ref="P316:P326">SUM(J316:O316)</f>
        <v>7</v>
      </c>
      <c r="Q316" s="15">
        <v>1</v>
      </c>
      <c r="R316" s="15">
        <v>0</v>
      </c>
      <c r="S316" s="15">
        <v>0</v>
      </c>
      <c r="T316" s="15">
        <v>0</v>
      </c>
      <c r="U316" s="15">
        <v>0</v>
      </c>
      <c r="V316" s="18"/>
      <c r="W316" s="18"/>
      <c r="X316" s="30"/>
      <c r="Y316" s="30"/>
      <c r="Z316" s="30"/>
      <c r="AA316" s="30"/>
      <c r="AB316" s="34"/>
      <c r="AC316" s="30"/>
      <c r="AD316" s="30"/>
      <c r="AE316" s="30"/>
      <c r="AF316" s="30"/>
      <c r="AG316" s="30"/>
      <c r="AH316" s="30"/>
      <c r="AI316" s="30"/>
      <c r="AJ316" s="30"/>
      <c r="AK316" s="30"/>
      <c r="AL316" s="30"/>
      <c r="AM316" s="30"/>
      <c r="AN316" s="30"/>
      <c r="AO316" s="30"/>
    </row>
    <row r="317" spans="1:41" s="39" customFormat="1" ht="19.5" customHeight="1">
      <c r="A317" s="32">
        <v>8</v>
      </c>
      <c r="B317" s="107"/>
      <c r="C317" s="20" t="str">
        <f>IF(A317="","VARA",VLOOKUP(A317,'[1]varas'!$A$4:$B$67,2))</f>
        <v>8ª VT Recife</v>
      </c>
      <c r="D317" s="29"/>
      <c r="E317" s="16"/>
      <c r="F317" s="15">
        <v>1</v>
      </c>
      <c r="G317" s="15">
        <v>0</v>
      </c>
      <c r="H317" s="15">
        <v>1</v>
      </c>
      <c r="I317" s="17">
        <f t="shared" si="95"/>
        <v>2</v>
      </c>
      <c r="J317" s="15">
        <v>0</v>
      </c>
      <c r="K317" s="15">
        <v>0</v>
      </c>
      <c r="L317" s="15">
        <v>0</v>
      </c>
      <c r="M317" s="15">
        <v>0</v>
      </c>
      <c r="N317" s="15">
        <v>0</v>
      </c>
      <c r="O317" s="15">
        <v>0</v>
      </c>
      <c r="P317" s="15">
        <f t="shared" si="96"/>
        <v>0</v>
      </c>
      <c r="Q317" s="15">
        <v>0</v>
      </c>
      <c r="R317" s="15">
        <v>2</v>
      </c>
      <c r="S317" s="15">
        <v>0</v>
      </c>
      <c r="T317" s="15">
        <v>0</v>
      </c>
      <c r="U317" s="15">
        <v>0</v>
      </c>
      <c r="V317" s="18"/>
      <c r="W317" s="18"/>
      <c r="X317" s="30"/>
      <c r="Y317" s="30"/>
      <c r="Z317" s="30"/>
      <c r="AA317" s="30"/>
      <c r="AB317" s="34"/>
      <c r="AC317" s="30"/>
      <c r="AD317" s="30"/>
      <c r="AE317" s="30"/>
      <c r="AF317" s="30"/>
      <c r="AG317" s="30"/>
      <c r="AH317" s="30"/>
      <c r="AI317" s="30"/>
      <c r="AJ317" s="30"/>
      <c r="AK317" s="30"/>
      <c r="AL317" s="30"/>
      <c r="AM317" s="30"/>
      <c r="AN317" s="30"/>
      <c r="AO317" s="30"/>
    </row>
    <row r="318" spans="1:41" s="39" customFormat="1" ht="16.5" customHeight="1">
      <c r="A318" s="32">
        <v>18</v>
      </c>
      <c r="B318" s="107"/>
      <c r="C318" s="20" t="str">
        <f>IF(A318="","VARA",VLOOKUP(A318,'[1]varas'!$A$4:$B$67,2))</f>
        <v>18ª VT Recife</v>
      </c>
      <c r="D318" s="29"/>
      <c r="E318" s="16"/>
      <c r="F318" s="15">
        <v>0</v>
      </c>
      <c r="G318" s="15">
        <v>0</v>
      </c>
      <c r="H318" s="15">
        <v>3</v>
      </c>
      <c r="I318" s="17">
        <f>SUM(F318:H318)</f>
        <v>3</v>
      </c>
      <c r="J318" s="15">
        <v>3</v>
      </c>
      <c r="K318" s="15">
        <v>0</v>
      </c>
      <c r="L318" s="15">
        <v>0</v>
      </c>
      <c r="M318" s="15">
        <v>0</v>
      </c>
      <c r="N318" s="15">
        <v>0</v>
      </c>
      <c r="O318" s="15">
        <v>0</v>
      </c>
      <c r="P318" s="15">
        <f>SUM(J318:O318)</f>
        <v>3</v>
      </c>
      <c r="Q318" s="15">
        <v>0</v>
      </c>
      <c r="R318" s="15">
        <v>0</v>
      </c>
      <c r="S318" s="15">
        <v>0</v>
      </c>
      <c r="T318" s="15">
        <v>0</v>
      </c>
      <c r="U318" s="15">
        <v>0</v>
      </c>
      <c r="V318" s="18"/>
      <c r="W318" s="18"/>
      <c r="X318" s="30"/>
      <c r="Y318" s="30"/>
      <c r="Z318" s="30"/>
      <c r="AA318" s="30"/>
      <c r="AB318" s="34"/>
      <c r="AC318" s="30"/>
      <c r="AD318" s="30"/>
      <c r="AE318" s="30"/>
      <c r="AF318" s="30"/>
      <c r="AG318" s="30"/>
      <c r="AH318" s="30"/>
      <c r="AI318" s="30"/>
      <c r="AJ318" s="30"/>
      <c r="AK318" s="30"/>
      <c r="AL318" s="30"/>
      <c r="AM318" s="30"/>
      <c r="AN318" s="30"/>
      <c r="AO318" s="30"/>
    </row>
    <row r="319" spans="1:41" s="39" customFormat="1" ht="16.5" customHeight="1">
      <c r="A319" s="32">
        <v>21</v>
      </c>
      <c r="B319" s="107"/>
      <c r="C319" s="20" t="str">
        <f>IF(A319="","VARA",VLOOKUP(A319,'[1]varas'!$A$4:$B$67,2))</f>
        <v>21ª VT Recife</v>
      </c>
      <c r="D319" s="29"/>
      <c r="E319" s="16"/>
      <c r="F319" s="15">
        <v>0</v>
      </c>
      <c r="G319" s="15">
        <v>0</v>
      </c>
      <c r="H319" s="15">
        <v>5</v>
      </c>
      <c r="I319" s="17">
        <f>SUM(F319:H319)</f>
        <v>5</v>
      </c>
      <c r="J319" s="15">
        <v>5</v>
      </c>
      <c r="K319" s="15">
        <v>0</v>
      </c>
      <c r="L319" s="15">
        <v>0</v>
      </c>
      <c r="M319" s="15">
        <v>0</v>
      </c>
      <c r="N319" s="15">
        <v>0</v>
      </c>
      <c r="O319" s="15">
        <v>0</v>
      </c>
      <c r="P319" s="15">
        <f>SUM(J319:O319)</f>
        <v>5</v>
      </c>
      <c r="Q319" s="15">
        <v>0</v>
      </c>
      <c r="R319" s="15">
        <v>0</v>
      </c>
      <c r="S319" s="15">
        <v>0</v>
      </c>
      <c r="T319" s="15">
        <v>0</v>
      </c>
      <c r="U319" s="15">
        <v>0</v>
      </c>
      <c r="V319" s="18"/>
      <c r="W319" s="18"/>
      <c r="X319" s="30"/>
      <c r="Y319" s="30"/>
      <c r="Z319" s="30"/>
      <c r="AA319" s="30"/>
      <c r="AB319" s="34"/>
      <c r="AC319" s="30"/>
      <c r="AD319" s="30"/>
      <c r="AE319" s="30"/>
      <c r="AF319" s="30"/>
      <c r="AG319" s="30"/>
      <c r="AH319" s="30"/>
      <c r="AI319" s="30"/>
      <c r="AJ319" s="30"/>
      <c r="AK319" s="30"/>
      <c r="AL319" s="30"/>
      <c r="AM319" s="30"/>
      <c r="AN319" s="30"/>
      <c r="AO319" s="30"/>
    </row>
    <row r="320" spans="1:41" s="39" customFormat="1" ht="18.75" customHeight="1">
      <c r="A320" s="32">
        <v>22</v>
      </c>
      <c r="B320" s="107"/>
      <c r="C320" s="20" t="str">
        <f>IF(A320="","VARA",VLOOKUP(A320,'[1]varas'!$A$4:$B$67,2))</f>
        <v>22ª VT Recife</v>
      </c>
      <c r="D320" s="29"/>
      <c r="E320" s="16"/>
      <c r="F320" s="15">
        <v>0</v>
      </c>
      <c r="G320" s="15">
        <v>0</v>
      </c>
      <c r="H320" s="15">
        <v>1</v>
      </c>
      <c r="I320" s="17">
        <f t="shared" si="95"/>
        <v>1</v>
      </c>
      <c r="J320" s="15">
        <v>0</v>
      </c>
      <c r="K320" s="15">
        <v>0</v>
      </c>
      <c r="L320" s="15">
        <v>0</v>
      </c>
      <c r="M320" s="15">
        <v>0</v>
      </c>
      <c r="N320" s="15">
        <v>0</v>
      </c>
      <c r="O320" s="15">
        <v>0</v>
      </c>
      <c r="P320" s="15">
        <f t="shared" si="96"/>
        <v>0</v>
      </c>
      <c r="Q320" s="15">
        <v>0</v>
      </c>
      <c r="R320" s="15">
        <v>1</v>
      </c>
      <c r="S320" s="15">
        <v>0</v>
      </c>
      <c r="T320" s="15">
        <v>0</v>
      </c>
      <c r="U320" s="15">
        <v>0</v>
      </c>
      <c r="V320" s="18"/>
      <c r="W320" s="18"/>
      <c r="X320" s="30"/>
      <c r="Y320" s="30"/>
      <c r="Z320" s="30"/>
      <c r="AA320" s="30"/>
      <c r="AB320" s="34"/>
      <c r="AC320" s="30"/>
      <c r="AD320" s="30"/>
      <c r="AE320" s="30"/>
      <c r="AF320" s="30"/>
      <c r="AG320" s="30"/>
      <c r="AH320" s="30"/>
      <c r="AI320" s="30"/>
      <c r="AJ320" s="30"/>
      <c r="AK320" s="30"/>
      <c r="AL320" s="30"/>
      <c r="AM320" s="30"/>
      <c r="AN320" s="30"/>
      <c r="AO320" s="30"/>
    </row>
    <row r="321" spans="1:41" s="39" customFormat="1" ht="18.75" customHeight="1">
      <c r="A321" s="32">
        <v>23</v>
      </c>
      <c r="B321" s="107"/>
      <c r="C321" s="20" t="str">
        <f>IF(A321="","VARA",VLOOKUP(A321,'[1]varas'!$A$4:$B$67,2))</f>
        <v>23ª VT Recife</v>
      </c>
      <c r="D321" s="29"/>
      <c r="E321" s="16"/>
      <c r="F321" s="15">
        <v>0</v>
      </c>
      <c r="G321" s="15">
        <v>5</v>
      </c>
      <c r="H321" s="15">
        <v>3</v>
      </c>
      <c r="I321" s="17">
        <f>SUM(F321:H321)</f>
        <v>8</v>
      </c>
      <c r="J321" s="15">
        <v>2</v>
      </c>
      <c r="K321" s="15">
        <v>0</v>
      </c>
      <c r="L321" s="15">
        <v>0</v>
      </c>
      <c r="M321" s="15">
        <v>0</v>
      </c>
      <c r="N321" s="15">
        <v>0</v>
      </c>
      <c r="O321" s="15">
        <v>0</v>
      </c>
      <c r="P321" s="15">
        <f>SUM(J321:O321)</f>
        <v>2</v>
      </c>
      <c r="Q321" s="15">
        <v>0</v>
      </c>
      <c r="R321" s="15">
        <v>6</v>
      </c>
      <c r="S321" s="15">
        <v>0</v>
      </c>
      <c r="T321" s="15">
        <v>0</v>
      </c>
      <c r="U321" s="15">
        <v>0</v>
      </c>
      <c r="V321" s="18"/>
      <c r="W321" s="18"/>
      <c r="X321" s="30"/>
      <c r="Y321" s="30"/>
      <c r="Z321" s="30"/>
      <c r="AA321" s="30"/>
      <c r="AB321" s="34"/>
      <c r="AC321" s="30"/>
      <c r="AD321" s="30"/>
      <c r="AE321" s="30"/>
      <c r="AF321" s="30"/>
      <c r="AG321" s="30"/>
      <c r="AH321" s="30"/>
      <c r="AI321" s="30"/>
      <c r="AJ321" s="30"/>
      <c r="AK321" s="30"/>
      <c r="AL321" s="30"/>
      <c r="AM321" s="30"/>
      <c r="AN321" s="30"/>
      <c r="AO321" s="30"/>
    </row>
    <row r="322" spans="1:41" s="39" customFormat="1" ht="18.75" customHeight="1">
      <c r="A322" s="32">
        <v>64</v>
      </c>
      <c r="B322" s="107"/>
      <c r="C322" s="20" t="str">
        <f>IF(A322="","VARA",VLOOKUP(A322,'[1]varas'!$A$4:$B$67,2))</f>
        <v>PAJT Surubim</v>
      </c>
      <c r="D322" s="29"/>
      <c r="E322" s="16"/>
      <c r="F322" s="15">
        <f>12+3+2</f>
        <v>17</v>
      </c>
      <c r="G322" s="15">
        <v>0</v>
      </c>
      <c r="H322" s="15">
        <v>0</v>
      </c>
      <c r="I322" s="17">
        <f>SUM(F322:H322)</f>
        <v>17</v>
      </c>
      <c r="J322" s="15">
        <v>1</v>
      </c>
      <c r="K322" s="15">
        <v>4</v>
      </c>
      <c r="L322" s="15">
        <v>1</v>
      </c>
      <c r="M322" s="15">
        <v>1</v>
      </c>
      <c r="N322" s="15">
        <v>0</v>
      </c>
      <c r="O322" s="15">
        <v>3</v>
      </c>
      <c r="P322" s="15">
        <f>SUM(J322:O322)</f>
        <v>10</v>
      </c>
      <c r="Q322" s="15">
        <v>4</v>
      </c>
      <c r="R322" s="15">
        <v>3</v>
      </c>
      <c r="S322" s="15">
        <v>0</v>
      </c>
      <c r="T322" s="15">
        <v>0</v>
      </c>
      <c r="U322" s="15">
        <v>27</v>
      </c>
      <c r="V322" s="18"/>
      <c r="W322" s="18"/>
      <c r="X322" s="30"/>
      <c r="Y322" s="30"/>
      <c r="Z322" s="30"/>
      <c r="AA322" s="30"/>
      <c r="AB322" s="34"/>
      <c r="AC322" s="30"/>
      <c r="AD322" s="30"/>
      <c r="AE322" s="30"/>
      <c r="AF322" s="30"/>
      <c r="AG322" s="30"/>
      <c r="AH322" s="30"/>
      <c r="AI322" s="30"/>
      <c r="AJ322" s="30"/>
      <c r="AK322" s="30"/>
      <c r="AL322" s="30"/>
      <c r="AM322" s="30"/>
      <c r="AN322" s="30"/>
      <c r="AO322" s="30"/>
    </row>
    <row r="323" spans="1:41" s="39" customFormat="1" ht="18.75" customHeight="1">
      <c r="A323" s="32">
        <v>41</v>
      </c>
      <c r="B323" s="107"/>
      <c r="C323" s="20" t="str">
        <f>IF(A323="","VARA",VLOOKUP(A323,'[1]varas'!$A$4:$B$67,2))</f>
        <v>1ª VT Paulista</v>
      </c>
      <c r="D323" s="29"/>
      <c r="E323" s="16"/>
      <c r="F323" s="15">
        <f>21+32+5</f>
        <v>58</v>
      </c>
      <c r="G323" s="15">
        <v>4</v>
      </c>
      <c r="H323" s="15">
        <v>0</v>
      </c>
      <c r="I323" s="17">
        <f>SUM(F323:H323)</f>
        <v>62</v>
      </c>
      <c r="J323" s="15">
        <v>4</v>
      </c>
      <c r="K323" s="15">
        <v>5</v>
      </c>
      <c r="L323" s="15">
        <v>5</v>
      </c>
      <c r="M323" s="15">
        <v>0</v>
      </c>
      <c r="N323" s="15">
        <v>0</v>
      </c>
      <c r="O323" s="15">
        <v>32</v>
      </c>
      <c r="P323" s="15">
        <f>SUM(J323:O323)</f>
        <v>46</v>
      </c>
      <c r="Q323" s="15">
        <v>0</v>
      </c>
      <c r="R323" s="15">
        <v>16</v>
      </c>
      <c r="S323" s="15">
        <v>0</v>
      </c>
      <c r="T323" s="15">
        <v>0</v>
      </c>
      <c r="U323" s="15">
        <v>78</v>
      </c>
      <c r="V323" s="18"/>
      <c r="W323" s="18"/>
      <c r="X323" s="30"/>
      <c r="Y323" s="30"/>
      <c r="Z323" s="30"/>
      <c r="AA323" s="30"/>
      <c r="AB323" s="34"/>
      <c r="AC323" s="30"/>
      <c r="AD323" s="30"/>
      <c r="AE323" s="30"/>
      <c r="AF323" s="30"/>
      <c r="AG323" s="30"/>
      <c r="AH323" s="30"/>
      <c r="AI323" s="30"/>
      <c r="AJ323" s="30"/>
      <c r="AK323" s="30"/>
      <c r="AL323" s="30"/>
      <c r="AM323" s="30"/>
      <c r="AN323" s="30"/>
      <c r="AO323" s="30"/>
    </row>
    <row r="324" spans="1:41" s="39" customFormat="1" ht="18.75" customHeight="1">
      <c r="A324" s="32">
        <v>42</v>
      </c>
      <c r="B324" s="107"/>
      <c r="C324" s="20" t="str">
        <f>IF(A324="","VARA",VLOOKUP(A324,'[1]varas'!$A$4:$B$67,2))</f>
        <v>2ª VT Paulista</v>
      </c>
      <c r="D324" s="29"/>
      <c r="E324" s="16"/>
      <c r="F324" s="15">
        <v>0</v>
      </c>
      <c r="G324" s="15">
        <v>3</v>
      </c>
      <c r="H324" s="15">
        <v>0</v>
      </c>
      <c r="I324" s="17">
        <f>SUM(F324:H324)</f>
        <v>3</v>
      </c>
      <c r="J324" s="15">
        <v>3</v>
      </c>
      <c r="K324" s="15">
        <v>0</v>
      </c>
      <c r="L324" s="15">
        <v>0</v>
      </c>
      <c r="M324" s="15">
        <v>0</v>
      </c>
      <c r="N324" s="15">
        <v>0</v>
      </c>
      <c r="O324" s="15">
        <v>0</v>
      </c>
      <c r="P324" s="15">
        <f>SUM(J324:O324)</f>
        <v>3</v>
      </c>
      <c r="Q324" s="15">
        <v>0</v>
      </c>
      <c r="R324" s="15">
        <v>0</v>
      </c>
      <c r="S324" s="15">
        <v>0</v>
      </c>
      <c r="T324" s="15">
        <v>0</v>
      </c>
      <c r="U324" s="15">
        <v>0</v>
      </c>
      <c r="V324" s="18"/>
      <c r="W324" s="18"/>
      <c r="X324" s="30"/>
      <c r="Y324" s="30"/>
      <c r="Z324" s="30"/>
      <c r="AA324" s="30"/>
      <c r="AB324" s="34"/>
      <c r="AC324" s="30"/>
      <c r="AD324" s="30"/>
      <c r="AE324" s="30"/>
      <c r="AF324" s="30"/>
      <c r="AG324" s="30"/>
      <c r="AH324" s="30"/>
      <c r="AI324" s="30"/>
      <c r="AJ324" s="30"/>
      <c r="AK324" s="30"/>
      <c r="AL324" s="30"/>
      <c r="AM324" s="30"/>
      <c r="AN324" s="30"/>
      <c r="AO324" s="30"/>
    </row>
    <row r="325" spans="1:41" s="39" customFormat="1" ht="17.25" customHeight="1">
      <c r="A325" s="32">
        <v>52</v>
      </c>
      <c r="B325" s="107"/>
      <c r="C325" s="20" t="str">
        <f>IF(A325="","VARA",VLOOKUP(A325,'[1]varas'!$A$4:$B$67,2))</f>
        <v>VT Limoeiro</v>
      </c>
      <c r="D325" s="29"/>
      <c r="E325" s="16"/>
      <c r="F325" s="15">
        <v>21</v>
      </c>
      <c r="G325" s="15">
        <v>0</v>
      </c>
      <c r="H325" s="15">
        <v>1</v>
      </c>
      <c r="I325" s="17">
        <f t="shared" si="95"/>
        <v>22</v>
      </c>
      <c r="J325" s="15">
        <v>2</v>
      </c>
      <c r="K325" s="15">
        <v>5</v>
      </c>
      <c r="L325" s="15">
        <v>0</v>
      </c>
      <c r="M325" s="15">
        <v>0</v>
      </c>
      <c r="N325" s="15">
        <v>0</v>
      </c>
      <c r="O325" s="15">
        <v>12</v>
      </c>
      <c r="P325" s="15">
        <f t="shared" si="96"/>
        <v>19</v>
      </c>
      <c r="Q325" s="15">
        <v>3</v>
      </c>
      <c r="R325" s="15">
        <v>0</v>
      </c>
      <c r="S325" s="15">
        <v>0</v>
      </c>
      <c r="T325" s="15">
        <v>0</v>
      </c>
      <c r="U325" s="15">
        <v>31</v>
      </c>
      <c r="V325" s="18"/>
      <c r="W325" s="18"/>
      <c r="X325" s="30"/>
      <c r="Y325" s="30"/>
      <c r="Z325" s="30"/>
      <c r="AA325" s="30"/>
      <c r="AB325" s="34"/>
      <c r="AC325" s="30"/>
      <c r="AD325" s="30"/>
      <c r="AE325" s="30"/>
      <c r="AF325" s="30"/>
      <c r="AG325" s="30"/>
      <c r="AH325" s="30"/>
      <c r="AI325" s="30"/>
      <c r="AJ325" s="30"/>
      <c r="AK325" s="30"/>
      <c r="AL325" s="30"/>
      <c r="AM325" s="30"/>
      <c r="AN325" s="30"/>
      <c r="AO325" s="30"/>
    </row>
    <row r="326" spans="1:41" s="53" customFormat="1" ht="20.25" customHeight="1">
      <c r="A326" s="47"/>
      <c r="B326" s="107"/>
      <c r="C326" s="20" t="s">
        <v>12</v>
      </c>
      <c r="D326" s="24"/>
      <c r="E326" s="48"/>
      <c r="F326" s="24">
        <f>SUM(F315:F325)</f>
        <v>98</v>
      </c>
      <c r="G326" s="24">
        <f>SUM(G315:G325)</f>
        <v>12</v>
      </c>
      <c r="H326" s="24">
        <f>SUM(H315:H325)</f>
        <v>21</v>
      </c>
      <c r="I326" s="40">
        <f t="shared" si="95"/>
        <v>131</v>
      </c>
      <c r="J326" s="24">
        <f aca="true" t="shared" si="97" ref="J326:O326">SUM(J315:J325)</f>
        <v>25</v>
      </c>
      <c r="K326" s="24">
        <f t="shared" si="97"/>
        <v>15</v>
      </c>
      <c r="L326" s="24">
        <f t="shared" si="97"/>
        <v>7</v>
      </c>
      <c r="M326" s="24">
        <f t="shared" si="97"/>
        <v>1</v>
      </c>
      <c r="N326" s="24">
        <f t="shared" si="97"/>
        <v>0</v>
      </c>
      <c r="O326" s="24">
        <f t="shared" si="97"/>
        <v>47</v>
      </c>
      <c r="P326" s="24">
        <f t="shared" si="96"/>
        <v>95</v>
      </c>
      <c r="Q326" s="24">
        <f>SUM(Q315:Q325)</f>
        <v>8</v>
      </c>
      <c r="R326" s="24">
        <f>SUM(R315:R325)</f>
        <v>28</v>
      </c>
      <c r="S326" s="24">
        <f>SUM(S315:S325)</f>
        <v>0</v>
      </c>
      <c r="T326" s="24">
        <f>SUM(T315:T325)</f>
        <v>0</v>
      </c>
      <c r="U326" s="24">
        <f>SUM(U315:U325)</f>
        <v>136</v>
      </c>
      <c r="V326" s="26">
        <f>IF(I326-Q326=0,"",IF(D326="",(P326+S326)/(I326-Q326),IF(AND(D326&lt;&gt;"",(P326+S326)/(I326-Q326)&gt;=50%),(P326+S326)/(I326-Q326),"")))</f>
        <v>0.7723577235772358</v>
      </c>
      <c r="W326" s="26">
        <f>IF(I326=O326,"",IF(V326="",0,(P326+Q326+S326-O326)/(I326-O326)))</f>
        <v>0.6666666666666666</v>
      </c>
      <c r="X326" s="49"/>
      <c r="Y326" s="49"/>
      <c r="Z326" s="49"/>
      <c r="AA326" s="49"/>
      <c r="AB326" s="50"/>
      <c r="AC326" s="49"/>
      <c r="AD326" s="49"/>
      <c r="AE326" s="49"/>
      <c r="AF326" s="49"/>
      <c r="AG326" s="49"/>
      <c r="AH326" s="49"/>
      <c r="AI326" s="49"/>
      <c r="AJ326" s="49"/>
      <c r="AK326" s="49"/>
      <c r="AL326" s="49"/>
      <c r="AM326" s="49"/>
      <c r="AN326" s="49"/>
      <c r="AO326" s="49"/>
    </row>
    <row r="327" spans="1:41" s="39" customFormat="1" ht="20.25" customHeight="1">
      <c r="A327" s="32"/>
      <c r="B327" s="107" t="s">
        <v>107</v>
      </c>
      <c r="C327" s="14" t="s">
        <v>2</v>
      </c>
      <c r="D327" s="29"/>
      <c r="E327" s="16" t="s">
        <v>27</v>
      </c>
      <c r="F327" s="15"/>
      <c r="G327" s="15"/>
      <c r="H327" s="15"/>
      <c r="I327" s="17"/>
      <c r="J327" s="15"/>
      <c r="K327" s="15"/>
      <c r="L327" s="15"/>
      <c r="M327" s="15"/>
      <c r="N327" s="15"/>
      <c r="O327" s="15"/>
      <c r="P327" s="15"/>
      <c r="Q327" s="15"/>
      <c r="R327" s="15"/>
      <c r="S327" s="15"/>
      <c r="T327" s="15"/>
      <c r="U327" s="15"/>
      <c r="V327" s="18"/>
      <c r="W327" s="18"/>
      <c r="X327" s="30"/>
      <c r="Y327" s="30"/>
      <c r="Z327" s="30"/>
      <c r="AA327" s="30"/>
      <c r="AB327" s="34"/>
      <c r="AC327" s="30"/>
      <c r="AD327" s="30"/>
      <c r="AE327" s="30"/>
      <c r="AF327" s="30"/>
      <c r="AG327" s="30"/>
      <c r="AH327" s="30"/>
      <c r="AI327" s="30"/>
      <c r="AJ327" s="30"/>
      <c r="AK327" s="30"/>
      <c r="AL327" s="30"/>
      <c r="AM327" s="30"/>
      <c r="AN327" s="30"/>
      <c r="AO327" s="30"/>
    </row>
    <row r="328" spans="1:41" s="39" customFormat="1" ht="18.75" customHeight="1">
      <c r="A328" s="32">
        <v>13</v>
      </c>
      <c r="B328" s="107"/>
      <c r="C328" s="20" t="str">
        <f>IF(A328="","VARA",VLOOKUP(A328,'[1]varas'!$A$4:$B$67,2))</f>
        <v>13ª VT Recife</v>
      </c>
      <c r="D328" s="29"/>
      <c r="E328" s="16"/>
      <c r="F328" s="15">
        <f>47+44+12</f>
        <v>103</v>
      </c>
      <c r="G328" s="15">
        <v>9</v>
      </c>
      <c r="H328" s="15">
        <v>0</v>
      </c>
      <c r="I328" s="17">
        <f>SUM(F328:H328)</f>
        <v>112</v>
      </c>
      <c r="J328" s="15">
        <v>34</v>
      </c>
      <c r="K328" s="15">
        <v>4</v>
      </c>
      <c r="L328" s="15">
        <v>10</v>
      </c>
      <c r="M328" s="15">
        <v>2</v>
      </c>
      <c r="N328" s="15">
        <v>0</v>
      </c>
      <c r="O328" s="15">
        <v>44</v>
      </c>
      <c r="P328" s="15">
        <f>SUM(J328:O328)</f>
        <v>94</v>
      </c>
      <c r="Q328" s="15">
        <v>18</v>
      </c>
      <c r="R328" s="15">
        <v>0</v>
      </c>
      <c r="S328" s="15">
        <v>0</v>
      </c>
      <c r="T328" s="15">
        <v>0</v>
      </c>
      <c r="U328" s="15">
        <v>278</v>
      </c>
      <c r="V328" s="18"/>
      <c r="W328" s="18"/>
      <c r="X328" s="30"/>
      <c r="Y328" s="30"/>
      <c r="Z328" s="30"/>
      <c r="AA328" s="30"/>
      <c r="AB328" s="34"/>
      <c r="AC328" s="30"/>
      <c r="AD328" s="30"/>
      <c r="AE328" s="30"/>
      <c r="AF328" s="30"/>
      <c r="AG328" s="30"/>
      <c r="AH328" s="30"/>
      <c r="AI328" s="30"/>
      <c r="AJ328" s="30"/>
      <c r="AK328" s="30"/>
      <c r="AL328" s="30"/>
      <c r="AM328" s="30"/>
      <c r="AN328" s="30"/>
      <c r="AO328" s="30"/>
    </row>
    <row r="329" spans="1:41" s="39" customFormat="1" ht="20.25" customHeight="1">
      <c r="A329" s="32"/>
      <c r="B329" s="107"/>
      <c r="C329" s="21" t="s">
        <v>12</v>
      </c>
      <c r="D329" s="33"/>
      <c r="E329" s="23"/>
      <c r="F329" s="24">
        <f>SUM(F327:F328)</f>
        <v>103</v>
      </c>
      <c r="G329" s="24">
        <f>SUM(G327:G328)</f>
        <v>9</v>
      </c>
      <c r="H329" s="24">
        <f>SUM(H327:H328)</f>
        <v>0</v>
      </c>
      <c r="I329" s="40">
        <f>SUM(F329:H329)</f>
        <v>112</v>
      </c>
      <c r="J329" s="24">
        <f aca="true" t="shared" si="98" ref="J329:O329">SUM(J327:J328)</f>
        <v>34</v>
      </c>
      <c r="K329" s="24">
        <f t="shared" si="98"/>
        <v>4</v>
      </c>
      <c r="L329" s="24">
        <f t="shared" si="98"/>
        <v>10</v>
      </c>
      <c r="M329" s="24">
        <f t="shared" si="98"/>
        <v>2</v>
      </c>
      <c r="N329" s="24">
        <f t="shared" si="98"/>
        <v>0</v>
      </c>
      <c r="O329" s="24">
        <f t="shared" si="98"/>
        <v>44</v>
      </c>
      <c r="P329" s="24">
        <f>SUM(J329:O329)</f>
        <v>94</v>
      </c>
      <c r="Q329" s="24">
        <f>SUM(Q327:Q328)</f>
        <v>18</v>
      </c>
      <c r="R329" s="24">
        <f>SUM(R327:R328)</f>
        <v>0</v>
      </c>
      <c r="S329" s="24">
        <f>SUM(S327:S328)</f>
        <v>0</v>
      </c>
      <c r="T329" s="24">
        <f>SUM(T327:T328)</f>
        <v>0</v>
      </c>
      <c r="U329" s="24">
        <f>SUM(U327:U328)</f>
        <v>278</v>
      </c>
      <c r="V329" s="26">
        <f>IF(I329-Q329=0,"",IF(D329="",(P329+S329)/(I329-Q329),IF(AND(D329&lt;&gt;"",(P329+S329)/(I329-Q329)&gt;=50%),(P329+S329)/(I329-Q329),"")))</f>
        <v>1</v>
      </c>
      <c r="W329" s="26">
        <f>IF(I329=O329,"",IF(V329="",0,(P329+Q329+S329-O329)/(I329-O329)))</f>
        <v>1</v>
      </c>
      <c r="X329" s="30"/>
      <c r="Y329" s="30"/>
      <c r="Z329" s="30"/>
      <c r="AA329" s="30"/>
      <c r="AB329" s="34"/>
      <c r="AC329" s="30"/>
      <c r="AD329" s="30"/>
      <c r="AE329" s="30"/>
      <c r="AF329" s="30"/>
      <c r="AG329" s="30"/>
      <c r="AH329" s="30"/>
      <c r="AI329" s="30"/>
      <c r="AJ329" s="30"/>
      <c r="AK329" s="30"/>
      <c r="AL329" s="30"/>
      <c r="AM329" s="30"/>
      <c r="AN329" s="30"/>
      <c r="AO329" s="30"/>
    </row>
    <row r="330" spans="1:41" s="39" customFormat="1" ht="21.75" customHeight="1">
      <c r="A330" s="32"/>
      <c r="B330" s="107" t="s">
        <v>108</v>
      </c>
      <c r="C330" s="20" t="s">
        <v>2</v>
      </c>
      <c r="D330" s="29" t="s">
        <v>30</v>
      </c>
      <c r="E330" s="16" t="s">
        <v>225</v>
      </c>
      <c r="F330" s="15"/>
      <c r="G330" s="15"/>
      <c r="H330" s="15"/>
      <c r="I330" s="17"/>
      <c r="J330" s="15"/>
      <c r="K330" s="15"/>
      <c r="L330" s="15"/>
      <c r="M330" s="15"/>
      <c r="N330" s="15"/>
      <c r="O330" s="15"/>
      <c r="P330" s="15"/>
      <c r="Q330" s="15"/>
      <c r="R330" s="15"/>
      <c r="S330" s="15"/>
      <c r="T330" s="15"/>
      <c r="U330" s="15"/>
      <c r="V330" s="18"/>
      <c r="W330" s="18"/>
      <c r="X330" s="30"/>
      <c r="Y330" s="30"/>
      <c r="Z330" s="30"/>
      <c r="AA330" s="30"/>
      <c r="AB330" s="34"/>
      <c r="AC330" s="30"/>
      <c r="AD330" s="30"/>
      <c r="AE330" s="30"/>
      <c r="AF330" s="30"/>
      <c r="AG330" s="30"/>
      <c r="AH330" s="30"/>
      <c r="AI330" s="30"/>
      <c r="AJ330" s="30"/>
      <c r="AK330" s="30"/>
      <c r="AL330" s="30"/>
      <c r="AM330" s="30"/>
      <c r="AN330" s="30"/>
      <c r="AO330" s="30"/>
    </row>
    <row r="331" spans="1:41" s="39" customFormat="1" ht="20.25" customHeight="1">
      <c r="A331" s="32">
        <v>8</v>
      </c>
      <c r="B331" s="107"/>
      <c r="C331" s="20" t="str">
        <f>IF(A331="","VARA",VLOOKUP(A331,'[1]varas'!$A$4:$B$67,2))</f>
        <v>8ª VT Recife</v>
      </c>
      <c r="D331" s="15"/>
      <c r="E331" s="16"/>
      <c r="F331" s="15">
        <f>8+7+8+5</f>
        <v>28</v>
      </c>
      <c r="G331" s="15">
        <v>1</v>
      </c>
      <c r="H331" s="15">
        <v>0</v>
      </c>
      <c r="I331" s="17">
        <f>SUM(F331:H331)</f>
        <v>29</v>
      </c>
      <c r="J331" s="15">
        <v>7</v>
      </c>
      <c r="K331" s="15">
        <v>2</v>
      </c>
      <c r="L331" s="15">
        <v>8</v>
      </c>
      <c r="M331" s="15">
        <v>3</v>
      </c>
      <c r="N331" s="15">
        <v>2</v>
      </c>
      <c r="O331" s="15">
        <v>7</v>
      </c>
      <c r="P331" s="15">
        <f>SUM(J331:O331)</f>
        <v>29</v>
      </c>
      <c r="Q331" s="15">
        <v>0</v>
      </c>
      <c r="R331" s="15">
        <v>0</v>
      </c>
      <c r="S331" s="15">
        <v>0</v>
      </c>
      <c r="T331" s="15">
        <v>0</v>
      </c>
      <c r="U331" s="15">
        <v>35</v>
      </c>
      <c r="V331" s="18"/>
      <c r="W331" s="18"/>
      <c r="X331" s="30"/>
      <c r="Y331" s="30"/>
      <c r="Z331" s="30"/>
      <c r="AA331" s="30"/>
      <c r="AB331" s="34"/>
      <c r="AC331" s="30"/>
      <c r="AD331" s="30"/>
      <c r="AE331" s="30"/>
      <c r="AF331" s="30"/>
      <c r="AG331" s="30"/>
      <c r="AH331" s="30"/>
      <c r="AI331" s="30"/>
      <c r="AJ331" s="30"/>
      <c r="AK331" s="30"/>
      <c r="AL331" s="30"/>
      <c r="AM331" s="30"/>
      <c r="AN331" s="30"/>
      <c r="AO331" s="30"/>
    </row>
    <row r="332" spans="1:41" s="53" customFormat="1" ht="18" customHeight="1">
      <c r="A332" s="47"/>
      <c r="B332" s="107"/>
      <c r="C332" s="21" t="s">
        <v>12</v>
      </c>
      <c r="D332" s="51"/>
      <c r="E332" s="52"/>
      <c r="F332" s="24">
        <f>SUM(F330:F331)</f>
        <v>28</v>
      </c>
      <c r="G332" s="24">
        <f>SUM(G330:G331)</f>
        <v>1</v>
      </c>
      <c r="H332" s="24">
        <f>SUM(H330:H331)</f>
        <v>0</v>
      </c>
      <c r="I332" s="25">
        <f>SUM(F332:H332)</f>
        <v>29</v>
      </c>
      <c r="J332" s="24">
        <f aca="true" t="shared" si="99" ref="J332:O332">SUM(J330:J331)</f>
        <v>7</v>
      </c>
      <c r="K332" s="24">
        <f t="shared" si="99"/>
        <v>2</v>
      </c>
      <c r="L332" s="24">
        <f t="shared" si="99"/>
        <v>8</v>
      </c>
      <c r="M332" s="24">
        <f t="shared" si="99"/>
        <v>3</v>
      </c>
      <c r="N332" s="24">
        <f t="shared" si="99"/>
        <v>2</v>
      </c>
      <c r="O332" s="24">
        <f t="shared" si="99"/>
        <v>7</v>
      </c>
      <c r="P332" s="24">
        <f>SUM(J332:O332)</f>
        <v>29</v>
      </c>
      <c r="Q332" s="24">
        <f>SUM(Q330:Q331)</f>
        <v>0</v>
      </c>
      <c r="R332" s="24">
        <f>SUM(R330:R331)</f>
        <v>0</v>
      </c>
      <c r="S332" s="24">
        <f>SUM(S330:S331)</f>
        <v>0</v>
      </c>
      <c r="T332" s="24">
        <f>SUM(T330:T331)</f>
        <v>0</v>
      </c>
      <c r="U332" s="24">
        <f>SUM(U330:U331)</f>
        <v>35</v>
      </c>
      <c r="V332" s="26">
        <f>IF(I332-Q332=0,"",IF(D332="",(P332+S332)/(I332-Q332),IF(AND(D332&lt;&gt;"",(P332+S332)/(I332-Q332)&gt;=50%),(P332+S332)/(I332-Q332),"")))</f>
        <v>1</v>
      </c>
      <c r="W332" s="26">
        <f>IF(I332=O332,"",IF(V332="",0,(P332+Q332+S332-O332)/(I332-O332)))</f>
        <v>1</v>
      </c>
      <c r="X332" s="49"/>
      <c r="Y332" s="49"/>
      <c r="Z332" s="49"/>
      <c r="AA332" s="49"/>
      <c r="AB332" s="50"/>
      <c r="AC332" s="49"/>
      <c r="AD332" s="49"/>
      <c r="AE332" s="49"/>
      <c r="AF332" s="49"/>
      <c r="AG332" s="49"/>
      <c r="AH332" s="49"/>
      <c r="AI332" s="49"/>
      <c r="AJ332" s="49"/>
      <c r="AK332" s="49"/>
      <c r="AL332" s="49"/>
      <c r="AM332" s="49"/>
      <c r="AN332" s="49"/>
      <c r="AO332" s="49"/>
    </row>
    <row r="333" spans="1:41" s="39" customFormat="1" ht="21" customHeight="1">
      <c r="A333" s="32"/>
      <c r="B333" s="107" t="s">
        <v>109</v>
      </c>
      <c r="C333" s="14" t="s">
        <v>2</v>
      </c>
      <c r="D333" s="29" t="s">
        <v>30</v>
      </c>
      <c r="E333" s="16" t="s">
        <v>182</v>
      </c>
      <c r="F333" s="15"/>
      <c r="G333" s="15"/>
      <c r="H333" s="15"/>
      <c r="I333" s="17"/>
      <c r="J333" s="15"/>
      <c r="K333" s="15"/>
      <c r="L333" s="15"/>
      <c r="M333" s="15"/>
      <c r="N333" s="15"/>
      <c r="O333" s="15"/>
      <c r="P333" s="15"/>
      <c r="Q333" s="15"/>
      <c r="R333" s="15"/>
      <c r="S333" s="15"/>
      <c r="T333" s="15"/>
      <c r="U333" s="15"/>
      <c r="V333" s="18"/>
      <c r="W333" s="18"/>
      <c r="X333" s="30"/>
      <c r="Y333" s="30"/>
      <c r="Z333" s="30"/>
      <c r="AA333" s="30"/>
      <c r="AB333" s="34"/>
      <c r="AC333" s="30"/>
      <c r="AD333" s="30"/>
      <c r="AE333" s="30"/>
      <c r="AF333" s="30"/>
      <c r="AG333" s="30"/>
      <c r="AH333" s="30"/>
      <c r="AI333" s="30"/>
      <c r="AJ333" s="30"/>
      <c r="AK333" s="30"/>
      <c r="AL333" s="30"/>
      <c r="AM333" s="30"/>
      <c r="AN333" s="30"/>
      <c r="AO333" s="30"/>
    </row>
    <row r="334" spans="1:41" s="39" customFormat="1" ht="18" customHeight="1">
      <c r="A334" s="32">
        <v>24</v>
      </c>
      <c r="B334" s="107"/>
      <c r="C334" s="20" t="str">
        <f>IF(A334="","VARA",VLOOKUP(A334,'[1]varas'!$A$4:$B$67,2))</f>
        <v>1ª VT Barreiros</v>
      </c>
      <c r="D334" s="29"/>
      <c r="E334" s="16"/>
      <c r="F334" s="15">
        <f>94+71+28</f>
        <v>193</v>
      </c>
      <c r="G334" s="15">
        <v>0</v>
      </c>
      <c r="H334" s="15">
        <v>0</v>
      </c>
      <c r="I334" s="17">
        <f>SUM(F334:H334)</f>
        <v>193</v>
      </c>
      <c r="J334" s="15">
        <v>49</v>
      </c>
      <c r="K334" s="15">
        <v>29</v>
      </c>
      <c r="L334" s="15">
        <v>24</v>
      </c>
      <c r="M334" s="15">
        <v>4</v>
      </c>
      <c r="N334" s="15">
        <v>0</v>
      </c>
      <c r="O334" s="15">
        <v>71</v>
      </c>
      <c r="P334" s="15">
        <f>SUM(J334:O334)</f>
        <v>177</v>
      </c>
      <c r="Q334" s="15">
        <v>16</v>
      </c>
      <c r="R334" s="15">
        <v>0</v>
      </c>
      <c r="S334" s="15">
        <v>0</v>
      </c>
      <c r="T334" s="15">
        <v>0</v>
      </c>
      <c r="U334" s="15">
        <v>218</v>
      </c>
      <c r="V334" s="18"/>
      <c r="W334" s="18"/>
      <c r="X334" s="30"/>
      <c r="Y334" s="30"/>
      <c r="Z334" s="30"/>
      <c r="AA334" s="30"/>
      <c r="AB334" s="34"/>
      <c r="AC334" s="30"/>
      <c r="AD334" s="30"/>
      <c r="AE334" s="30"/>
      <c r="AF334" s="30"/>
      <c r="AG334" s="30"/>
      <c r="AH334" s="30"/>
      <c r="AI334" s="30"/>
      <c r="AJ334" s="30"/>
      <c r="AK334" s="30"/>
      <c r="AL334" s="30"/>
      <c r="AM334" s="30"/>
      <c r="AN334" s="30"/>
      <c r="AO334" s="30"/>
    </row>
    <row r="335" spans="1:41" s="39" customFormat="1" ht="18.75" customHeight="1">
      <c r="A335" s="32"/>
      <c r="B335" s="107"/>
      <c r="C335" s="21" t="s">
        <v>12</v>
      </c>
      <c r="D335" s="33"/>
      <c r="E335" s="23"/>
      <c r="F335" s="24">
        <f>SUM(F333:F334)</f>
        <v>193</v>
      </c>
      <c r="G335" s="24">
        <f>SUM(G333:G334)</f>
        <v>0</v>
      </c>
      <c r="H335" s="24">
        <f>SUM(H333:H334)</f>
        <v>0</v>
      </c>
      <c r="I335" s="40">
        <f>SUM(F335:H335)</f>
        <v>193</v>
      </c>
      <c r="J335" s="24">
        <f aca="true" t="shared" si="100" ref="J335:O335">SUM(J333:J334)</f>
        <v>49</v>
      </c>
      <c r="K335" s="24">
        <f t="shared" si="100"/>
        <v>29</v>
      </c>
      <c r="L335" s="24">
        <f t="shared" si="100"/>
        <v>24</v>
      </c>
      <c r="M335" s="24">
        <f t="shared" si="100"/>
        <v>4</v>
      </c>
      <c r="N335" s="24">
        <f t="shared" si="100"/>
        <v>0</v>
      </c>
      <c r="O335" s="24">
        <f t="shared" si="100"/>
        <v>71</v>
      </c>
      <c r="P335" s="24">
        <f>SUM(J335:O335)</f>
        <v>177</v>
      </c>
      <c r="Q335" s="24">
        <f>SUM(Q333:Q334)</f>
        <v>16</v>
      </c>
      <c r="R335" s="24">
        <f>SUM(R333:R334)</f>
        <v>0</v>
      </c>
      <c r="S335" s="24">
        <f>SUM(S333:S334)</f>
        <v>0</v>
      </c>
      <c r="T335" s="24">
        <f>SUM(T333:T334)</f>
        <v>0</v>
      </c>
      <c r="U335" s="24">
        <f>SUM(U333:U334)</f>
        <v>218</v>
      </c>
      <c r="V335" s="26">
        <f>IF(I335-Q335=0,"",IF(D335="",(P335+S335)/(I335-Q335),IF(AND(D335&lt;&gt;"",(P335+S335)/(I335-Q335)&gt;=50%),(P335+S335)/(I335-Q335),"")))</f>
        <v>1</v>
      </c>
      <c r="W335" s="26">
        <f>IF(I335=O335,"",IF(V335="",0,(P335+Q335+S335-O335)/(I335-O335)))</f>
        <v>1</v>
      </c>
      <c r="X335" s="30"/>
      <c r="Y335" s="30"/>
      <c r="Z335" s="30"/>
      <c r="AA335" s="30"/>
      <c r="AB335" s="34"/>
      <c r="AC335" s="30"/>
      <c r="AD335" s="30"/>
      <c r="AE335" s="30"/>
      <c r="AF335" s="30"/>
      <c r="AG335" s="30"/>
      <c r="AH335" s="30"/>
      <c r="AI335" s="30"/>
      <c r="AJ335" s="30"/>
      <c r="AK335" s="30"/>
      <c r="AL335" s="30"/>
      <c r="AM335" s="30"/>
      <c r="AN335" s="30"/>
      <c r="AO335" s="30"/>
    </row>
    <row r="336" spans="1:41" s="39" customFormat="1" ht="18.75" customHeight="1">
      <c r="A336" s="32"/>
      <c r="B336" s="107" t="s">
        <v>110</v>
      </c>
      <c r="C336" s="14" t="s">
        <v>2</v>
      </c>
      <c r="D336" s="29"/>
      <c r="E336" s="16" t="s">
        <v>27</v>
      </c>
      <c r="F336" s="15"/>
      <c r="G336" s="15"/>
      <c r="H336" s="15"/>
      <c r="I336" s="17"/>
      <c r="J336" s="15"/>
      <c r="K336" s="15"/>
      <c r="L336" s="15"/>
      <c r="M336" s="15"/>
      <c r="N336" s="15"/>
      <c r="O336" s="15"/>
      <c r="P336" s="15"/>
      <c r="Q336" s="15"/>
      <c r="R336" s="15"/>
      <c r="S336" s="15"/>
      <c r="T336" s="15"/>
      <c r="U336" s="15"/>
      <c r="V336" s="18"/>
      <c r="W336" s="18"/>
      <c r="X336" s="30"/>
      <c r="Y336" s="30"/>
      <c r="Z336" s="30"/>
      <c r="AA336" s="30"/>
      <c r="AB336" s="34"/>
      <c r="AC336" s="30"/>
      <c r="AD336" s="30"/>
      <c r="AE336" s="30"/>
      <c r="AF336" s="30"/>
      <c r="AG336" s="30"/>
      <c r="AH336" s="30"/>
      <c r="AI336" s="30"/>
      <c r="AJ336" s="30"/>
      <c r="AK336" s="30"/>
      <c r="AL336" s="30"/>
      <c r="AM336" s="30"/>
      <c r="AN336" s="30"/>
      <c r="AO336" s="30"/>
    </row>
    <row r="337" spans="1:41" s="39" customFormat="1" ht="17.25" customHeight="1">
      <c r="A337" s="32">
        <v>16</v>
      </c>
      <c r="B337" s="107"/>
      <c r="C337" s="20" t="str">
        <f>IF(A337="","VARA",VLOOKUP(A337,'[1]varas'!$A$4:$B$67,2))</f>
        <v>16ª VT Recife</v>
      </c>
      <c r="D337" s="15"/>
      <c r="E337" s="16"/>
      <c r="F337" s="15">
        <f>25+34+33+5</f>
        <v>97</v>
      </c>
      <c r="G337" s="15">
        <v>16</v>
      </c>
      <c r="H337" s="15">
        <v>16</v>
      </c>
      <c r="I337" s="17">
        <f>SUM(F337:H337)</f>
        <v>129</v>
      </c>
      <c r="J337" s="15">
        <v>34</v>
      </c>
      <c r="K337" s="15">
        <v>2</v>
      </c>
      <c r="L337" s="15">
        <v>33</v>
      </c>
      <c r="M337" s="15">
        <v>5</v>
      </c>
      <c r="N337" s="15">
        <v>0</v>
      </c>
      <c r="O337" s="15">
        <v>34</v>
      </c>
      <c r="P337" s="15">
        <f>SUM(J337:O337)</f>
        <v>108</v>
      </c>
      <c r="Q337" s="15">
        <v>8</v>
      </c>
      <c r="R337" s="15">
        <v>12</v>
      </c>
      <c r="S337" s="15">
        <v>0</v>
      </c>
      <c r="T337" s="15">
        <v>1</v>
      </c>
      <c r="U337" s="15">
        <v>189</v>
      </c>
      <c r="V337" s="18"/>
      <c r="W337" s="18"/>
      <c r="X337" s="30"/>
      <c r="Y337" s="30"/>
      <c r="Z337" s="30"/>
      <c r="AA337" s="30"/>
      <c r="AB337" s="34"/>
      <c r="AC337" s="30"/>
      <c r="AD337" s="30"/>
      <c r="AE337" s="30"/>
      <c r="AF337" s="30"/>
      <c r="AG337" s="30"/>
      <c r="AH337" s="30"/>
      <c r="AI337" s="30"/>
      <c r="AJ337" s="30"/>
      <c r="AK337" s="30"/>
      <c r="AL337" s="30"/>
      <c r="AM337" s="30"/>
      <c r="AN337" s="30"/>
      <c r="AO337" s="30"/>
    </row>
    <row r="338" spans="1:41" s="53" customFormat="1" ht="19.5" customHeight="1">
      <c r="A338" s="47"/>
      <c r="B338" s="107"/>
      <c r="C338" s="21" t="s">
        <v>12</v>
      </c>
      <c r="D338" s="51"/>
      <c r="E338" s="52"/>
      <c r="F338" s="24">
        <f>SUM(F336:F337)</f>
        <v>97</v>
      </c>
      <c r="G338" s="24">
        <f>SUM(G336:G337)</f>
        <v>16</v>
      </c>
      <c r="H338" s="24">
        <f>SUM(H336:H337)</f>
        <v>16</v>
      </c>
      <c r="I338" s="25">
        <f>SUM(F338:H338)</f>
        <v>129</v>
      </c>
      <c r="J338" s="24">
        <f aca="true" t="shared" si="101" ref="J338:O338">SUM(J336:J337)</f>
        <v>34</v>
      </c>
      <c r="K338" s="24">
        <f t="shared" si="101"/>
        <v>2</v>
      </c>
      <c r="L338" s="24">
        <f t="shared" si="101"/>
        <v>33</v>
      </c>
      <c r="M338" s="24">
        <f t="shared" si="101"/>
        <v>5</v>
      </c>
      <c r="N338" s="24">
        <f t="shared" si="101"/>
        <v>0</v>
      </c>
      <c r="O338" s="24">
        <f t="shared" si="101"/>
        <v>34</v>
      </c>
      <c r="P338" s="24">
        <f>SUM(J338:O338)</f>
        <v>108</v>
      </c>
      <c r="Q338" s="24">
        <f>SUM(Q336:Q337)</f>
        <v>8</v>
      </c>
      <c r="R338" s="24">
        <f>SUM(R336:R337)</f>
        <v>12</v>
      </c>
      <c r="S338" s="24">
        <f>SUM(S336:S337)</f>
        <v>0</v>
      </c>
      <c r="T338" s="24">
        <f>SUM(T336:T337)</f>
        <v>1</v>
      </c>
      <c r="U338" s="24">
        <f>SUM(U336:U337)</f>
        <v>189</v>
      </c>
      <c r="V338" s="26">
        <f>IF(I338-Q338=0,"",IF(D338="",(P338+S338)/(I338-Q338),IF(AND(D338&lt;&gt;"",(P338+S338)/(I338-Q338)&gt;=50%),(P338+S338)/(I338-Q338),"")))</f>
        <v>0.8925619834710744</v>
      </c>
      <c r="W338" s="26">
        <f>IF(I338=O338,"",IF(V338="",0,(P338+Q338+S338-O338)/(I338-O338)))</f>
        <v>0.8631578947368421</v>
      </c>
      <c r="X338" s="49"/>
      <c r="Y338" s="49"/>
      <c r="Z338" s="49"/>
      <c r="AA338" s="49"/>
      <c r="AB338" s="50"/>
      <c r="AC338" s="49"/>
      <c r="AD338" s="49"/>
      <c r="AE338" s="49"/>
      <c r="AF338" s="49"/>
      <c r="AG338" s="49"/>
      <c r="AH338" s="49"/>
      <c r="AI338" s="49"/>
      <c r="AJ338" s="49"/>
      <c r="AK338" s="49"/>
      <c r="AL338" s="49"/>
      <c r="AM338" s="49"/>
      <c r="AN338" s="49"/>
      <c r="AO338" s="49"/>
    </row>
    <row r="339" spans="1:41" s="39" customFormat="1" ht="19.5" customHeight="1">
      <c r="A339" s="32"/>
      <c r="B339" s="107" t="s">
        <v>111</v>
      </c>
      <c r="C339" s="14" t="s">
        <v>2</v>
      </c>
      <c r="D339" s="29" t="s">
        <v>226</v>
      </c>
      <c r="E339" s="16" t="s">
        <v>227</v>
      </c>
      <c r="F339" s="15"/>
      <c r="G339" s="15"/>
      <c r="H339" s="15"/>
      <c r="I339" s="17"/>
      <c r="J339" s="15"/>
      <c r="K339" s="15"/>
      <c r="L339" s="15"/>
      <c r="M339" s="15"/>
      <c r="N339" s="15"/>
      <c r="O339" s="15"/>
      <c r="P339" s="15"/>
      <c r="Q339" s="15"/>
      <c r="R339" s="15"/>
      <c r="S339" s="15"/>
      <c r="T339" s="15"/>
      <c r="U339" s="15"/>
      <c r="V339" s="18"/>
      <c r="W339" s="18"/>
      <c r="X339" s="30"/>
      <c r="Y339" s="30"/>
      <c r="Z339" s="30"/>
      <c r="AA339" s="30"/>
      <c r="AB339" s="34"/>
      <c r="AC339" s="30"/>
      <c r="AD339" s="30"/>
      <c r="AE339" s="30"/>
      <c r="AF339" s="30"/>
      <c r="AG339" s="30"/>
      <c r="AH339" s="30"/>
      <c r="AI339" s="30"/>
      <c r="AJ339" s="30"/>
      <c r="AK339" s="30"/>
      <c r="AL339" s="30"/>
      <c r="AM339" s="30"/>
      <c r="AN339" s="30"/>
      <c r="AO339" s="30"/>
    </row>
    <row r="340" spans="1:41" s="39" customFormat="1" ht="18" customHeight="1">
      <c r="A340" s="32">
        <v>52</v>
      </c>
      <c r="B340" s="107"/>
      <c r="C340" s="20" t="str">
        <f>IF(A340="","VARA",VLOOKUP(A340,'[1]varas'!$A$4:$B$67,2))</f>
        <v>VT Limoeiro</v>
      </c>
      <c r="D340" s="15"/>
      <c r="E340" s="16"/>
      <c r="F340" s="15">
        <v>0</v>
      </c>
      <c r="G340" s="15">
        <v>0</v>
      </c>
      <c r="H340" s="15">
        <v>0</v>
      </c>
      <c r="I340" s="17">
        <f>SUM(F340:H340)</f>
        <v>0</v>
      </c>
      <c r="J340" s="15">
        <v>0</v>
      </c>
      <c r="K340" s="15">
        <v>0</v>
      </c>
      <c r="L340" s="15">
        <v>0</v>
      </c>
      <c r="M340" s="15">
        <v>0</v>
      </c>
      <c r="N340" s="15">
        <v>0</v>
      </c>
      <c r="O340" s="15">
        <v>0</v>
      </c>
      <c r="P340" s="15">
        <f>SUM(J340:O340)</f>
        <v>0</v>
      </c>
      <c r="Q340" s="15">
        <v>0</v>
      </c>
      <c r="R340" s="15">
        <v>0</v>
      </c>
      <c r="S340" s="15">
        <v>0</v>
      </c>
      <c r="T340" s="15">
        <v>0</v>
      </c>
      <c r="U340" s="15">
        <v>0</v>
      </c>
      <c r="V340" s="18"/>
      <c r="W340" s="18"/>
      <c r="X340" s="30"/>
      <c r="Y340" s="30"/>
      <c r="Z340" s="30"/>
      <c r="AA340" s="30"/>
      <c r="AB340" s="34"/>
      <c r="AC340" s="30"/>
      <c r="AD340" s="30"/>
      <c r="AE340" s="30"/>
      <c r="AF340" s="30"/>
      <c r="AG340" s="30"/>
      <c r="AH340" s="30"/>
      <c r="AI340" s="30"/>
      <c r="AJ340" s="30"/>
      <c r="AK340" s="30"/>
      <c r="AL340" s="30"/>
      <c r="AM340" s="30"/>
      <c r="AN340" s="30"/>
      <c r="AO340" s="30"/>
    </row>
    <row r="341" spans="1:41" s="39" customFormat="1" ht="18.75" customHeight="1">
      <c r="A341" s="32">
        <v>64</v>
      </c>
      <c r="B341" s="107"/>
      <c r="C341" s="20" t="str">
        <f>IF(A341="","VARA",VLOOKUP(A341,'[1]varas'!$A$4:$B$67,2))</f>
        <v>PAJT Surubim</v>
      </c>
      <c r="D341" s="15"/>
      <c r="E341" s="16"/>
      <c r="F341" s="15">
        <v>0</v>
      </c>
      <c r="G341" s="15">
        <v>0</v>
      </c>
      <c r="H341" s="15">
        <v>0</v>
      </c>
      <c r="I341" s="17">
        <f>SUM(F341:H341)</f>
        <v>0</v>
      </c>
      <c r="J341" s="15">
        <v>0</v>
      </c>
      <c r="K341" s="15">
        <v>0</v>
      </c>
      <c r="L341" s="15">
        <v>0</v>
      </c>
      <c r="M341" s="15">
        <v>0</v>
      </c>
      <c r="N341" s="15">
        <v>0</v>
      </c>
      <c r="O341" s="15">
        <v>0</v>
      </c>
      <c r="P341" s="15">
        <f>SUM(J341:O341)</f>
        <v>0</v>
      </c>
      <c r="Q341" s="15">
        <v>0</v>
      </c>
      <c r="R341" s="15">
        <v>0</v>
      </c>
      <c r="S341" s="15">
        <v>0</v>
      </c>
      <c r="T341" s="15">
        <v>0</v>
      </c>
      <c r="U341" s="15">
        <v>0</v>
      </c>
      <c r="V341" s="18"/>
      <c r="W341" s="18"/>
      <c r="X341" s="30"/>
      <c r="Y341" s="30"/>
      <c r="Z341" s="30"/>
      <c r="AA341" s="30"/>
      <c r="AB341" s="34"/>
      <c r="AC341" s="30"/>
      <c r="AD341" s="30"/>
      <c r="AE341" s="30"/>
      <c r="AF341" s="30"/>
      <c r="AG341" s="30"/>
      <c r="AH341" s="30"/>
      <c r="AI341" s="30"/>
      <c r="AJ341" s="30"/>
      <c r="AK341" s="30"/>
      <c r="AL341" s="30"/>
      <c r="AM341" s="30"/>
      <c r="AN341" s="30"/>
      <c r="AO341" s="30"/>
    </row>
    <row r="342" spans="1:41" s="53" customFormat="1" ht="18" customHeight="1">
      <c r="A342" s="47"/>
      <c r="B342" s="107"/>
      <c r="C342" s="21" t="s">
        <v>12</v>
      </c>
      <c r="D342" s="51"/>
      <c r="E342" s="52"/>
      <c r="F342" s="24">
        <f>SUM(F339:F341)</f>
        <v>0</v>
      </c>
      <c r="G342" s="24">
        <f>SUM(G339:G341)</f>
        <v>0</v>
      </c>
      <c r="H342" s="24">
        <f>SUM(H339:H341)</f>
        <v>0</v>
      </c>
      <c r="I342" s="25">
        <f>SUM(F342:H342)</f>
        <v>0</v>
      </c>
      <c r="J342" s="24">
        <f aca="true" t="shared" si="102" ref="J342:O342">SUM(J339:J341)</f>
        <v>0</v>
      </c>
      <c r="K342" s="24">
        <f t="shared" si="102"/>
        <v>0</v>
      </c>
      <c r="L342" s="24">
        <f t="shared" si="102"/>
        <v>0</v>
      </c>
      <c r="M342" s="24">
        <f t="shared" si="102"/>
        <v>0</v>
      </c>
      <c r="N342" s="24">
        <f t="shared" si="102"/>
        <v>0</v>
      </c>
      <c r="O342" s="24">
        <f t="shared" si="102"/>
        <v>0</v>
      </c>
      <c r="P342" s="24">
        <f>SUM(J342:O342)</f>
        <v>0</v>
      </c>
      <c r="Q342" s="24">
        <f>SUM(Q339:Q341)</f>
        <v>0</v>
      </c>
      <c r="R342" s="24">
        <f>SUM(R339:R341)</f>
        <v>0</v>
      </c>
      <c r="S342" s="24">
        <f>SUM(S339:S341)</f>
        <v>0</v>
      </c>
      <c r="T342" s="24">
        <f>SUM(T339:T341)</f>
        <v>0</v>
      </c>
      <c r="U342" s="24">
        <f>SUM(U339:U341)</f>
        <v>0</v>
      </c>
      <c r="V342" s="26">
        <f>IF(I342-Q342=0,"",IF(D342="",(P342+S342)/(I342-Q342),IF(AND(D342&lt;&gt;"",(P342+S342)/(I342-Q342)&gt;=50%),(P342+S342)/(I342-Q342),"")))</f>
      </c>
      <c r="W342" s="26">
        <f>IF(I342=O342,"",IF(V342="",0,(P342+Q342+S342-O342)/(I342-O342)))</f>
      </c>
      <c r="X342" s="49"/>
      <c r="Y342" s="49"/>
      <c r="Z342" s="49"/>
      <c r="AA342" s="49"/>
      <c r="AB342" s="50"/>
      <c r="AC342" s="49"/>
      <c r="AD342" s="49"/>
      <c r="AE342" s="49"/>
      <c r="AF342" s="49"/>
      <c r="AG342" s="49"/>
      <c r="AH342" s="49"/>
      <c r="AI342" s="49"/>
      <c r="AJ342" s="49"/>
      <c r="AK342" s="49"/>
      <c r="AL342" s="49"/>
      <c r="AM342" s="49"/>
      <c r="AN342" s="49"/>
      <c r="AO342" s="49"/>
    </row>
    <row r="343" spans="1:41" s="39" customFormat="1" ht="14.25" customHeight="1">
      <c r="A343" s="32"/>
      <c r="B343" s="107" t="s">
        <v>112</v>
      </c>
      <c r="C343" s="14" t="s">
        <v>164</v>
      </c>
      <c r="D343" s="29" t="s">
        <v>30</v>
      </c>
      <c r="E343" s="16" t="s">
        <v>176</v>
      </c>
      <c r="F343" s="15"/>
      <c r="G343" s="15"/>
      <c r="H343" s="15"/>
      <c r="I343" s="17"/>
      <c r="J343" s="15"/>
      <c r="K343" s="15"/>
      <c r="L343" s="15"/>
      <c r="M343" s="15"/>
      <c r="N343" s="15"/>
      <c r="O343" s="15"/>
      <c r="P343" s="15"/>
      <c r="Q343" s="15"/>
      <c r="R343" s="15"/>
      <c r="S343" s="15"/>
      <c r="T343" s="15"/>
      <c r="U343" s="15"/>
      <c r="V343" s="18"/>
      <c r="W343" s="18"/>
      <c r="X343" s="30"/>
      <c r="Y343" s="30"/>
      <c r="Z343" s="30"/>
      <c r="AA343" s="30"/>
      <c r="AB343" s="34"/>
      <c r="AC343" s="30"/>
      <c r="AD343" s="30"/>
      <c r="AE343" s="30"/>
      <c r="AF343" s="30"/>
      <c r="AG343" s="30"/>
      <c r="AH343" s="30"/>
      <c r="AI343" s="30"/>
      <c r="AJ343" s="30"/>
      <c r="AK343" s="30"/>
      <c r="AL343" s="30"/>
      <c r="AM343" s="30"/>
      <c r="AN343" s="30"/>
      <c r="AO343" s="30"/>
    </row>
    <row r="344" spans="1:41" s="39" customFormat="1" ht="20.25" customHeight="1">
      <c r="A344" s="32">
        <v>50</v>
      </c>
      <c r="B344" s="107"/>
      <c r="C344" s="20" t="str">
        <f>IF(A344="","VARA",VLOOKUP(A344,'[1]varas'!$A$4:$B$67,2))</f>
        <v>VT Garanhuns</v>
      </c>
      <c r="D344" s="29"/>
      <c r="E344" s="16"/>
      <c r="F344" s="15">
        <v>21</v>
      </c>
      <c r="G344" s="15">
        <v>0</v>
      </c>
      <c r="H344" s="15">
        <v>0</v>
      </c>
      <c r="I344" s="17">
        <f>SUM(F344:H344)</f>
        <v>21</v>
      </c>
      <c r="J344" s="15">
        <v>0</v>
      </c>
      <c r="K344" s="15">
        <v>0</v>
      </c>
      <c r="L344" s="15">
        <v>0</v>
      </c>
      <c r="M344" s="15">
        <v>1</v>
      </c>
      <c r="N344" s="15">
        <v>0</v>
      </c>
      <c r="O344" s="15">
        <v>17</v>
      </c>
      <c r="P344" s="15">
        <f>SUM(J344:O344)</f>
        <v>18</v>
      </c>
      <c r="Q344" s="15">
        <v>3</v>
      </c>
      <c r="R344" s="15">
        <v>0</v>
      </c>
      <c r="S344" s="15">
        <v>0</v>
      </c>
      <c r="T344" s="15">
        <v>0</v>
      </c>
      <c r="U344" s="15">
        <v>34</v>
      </c>
      <c r="V344" s="18"/>
      <c r="W344" s="18"/>
      <c r="X344" s="30"/>
      <c r="Y344" s="30"/>
      <c r="Z344" s="30"/>
      <c r="AA344" s="30"/>
      <c r="AB344" s="34"/>
      <c r="AC344" s="30"/>
      <c r="AD344" s="30"/>
      <c r="AE344" s="30"/>
      <c r="AF344" s="30"/>
      <c r="AG344" s="30"/>
      <c r="AH344" s="30"/>
      <c r="AI344" s="30"/>
      <c r="AJ344" s="30"/>
      <c r="AK344" s="30"/>
      <c r="AL344" s="30"/>
      <c r="AM344" s="30"/>
      <c r="AN344" s="30"/>
      <c r="AO344" s="30"/>
    </row>
    <row r="345" spans="1:41" s="39" customFormat="1" ht="18" customHeight="1">
      <c r="A345" s="32"/>
      <c r="B345" s="107"/>
      <c r="C345" s="21" t="s">
        <v>12</v>
      </c>
      <c r="D345" s="33"/>
      <c r="E345" s="23"/>
      <c r="F345" s="24">
        <f>SUM(F343:F344)</f>
        <v>21</v>
      </c>
      <c r="G345" s="24">
        <f>SUM(G343:G344)</f>
        <v>0</v>
      </c>
      <c r="H345" s="24">
        <f>SUM(H343:H344)</f>
        <v>0</v>
      </c>
      <c r="I345" s="40">
        <f>SUM(F345:H345)</f>
        <v>21</v>
      </c>
      <c r="J345" s="24">
        <f aca="true" t="shared" si="103" ref="J345:O345">SUM(J343:J344)</f>
        <v>0</v>
      </c>
      <c r="K345" s="24">
        <f t="shared" si="103"/>
        <v>0</v>
      </c>
      <c r="L345" s="24">
        <f t="shared" si="103"/>
        <v>0</v>
      </c>
      <c r="M345" s="24">
        <f t="shared" si="103"/>
        <v>1</v>
      </c>
      <c r="N345" s="24">
        <f t="shared" si="103"/>
        <v>0</v>
      </c>
      <c r="O345" s="24">
        <f t="shared" si="103"/>
        <v>17</v>
      </c>
      <c r="P345" s="24">
        <f>SUM(J345:O345)</f>
        <v>18</v>
      </c>
      <c r="Q345" s="24">
        <f>SUM(Q343:Q344)</f>
        <v>3</v>
      </c>
      <c r="R345" s="24">
        <f>SUM(R343:R344)</f>
        <v>0</v>
      </c>
      <c r="S345" s="24">
        <f>SUM(S343:S344)</f>
        <v>0</v>
      </c>
      <c r="T345" s="24">
        <f>SUM(T343:T344)</f>
        <v>0</v>
      </c>
      <c r="U345" s="24">
        <f>SUM(U343:U344)</f>
        <v>34</v>
      </c>
      <c r="V345" s="26">
        <f>IF(I345-Q345=0,"",IF(D345="",(P345+S345)/(I345-Q345),IF(AND(D345&lt;&gt;"",(P345+S345)/(I345-Q345)&gt;=50%),(P345+S345)/(I345-Q345),"")))</f>
        <v>1</v>
      </c>
      <c r="W345" s="26">
        <f>IF(I345=O345,"",IF(V345="",0,(P345+Q345+S345-O345)/(I345-O345)))</f>
        <v>1</v>
      </c>
      <c r="X345" s="30"/>
      <c r="Y345" s="30"/>
      <c r="Z345" s="30"/>
      <c r="AA345" s="30"/>
      <c r="AB345" s="34"/>
      <c r="AC345" s="30"/>
      <c r="AD345" s="30"/>
      <c r="AE345" s="30"/>
      <c r="AF345" s="30"/>
      <c r="AG345" s="30"/>
      <c r="AH345" s="30"/>
      <c r="AI345" s="30"/>
      <c r="AJ345" s="30"/>
      <c r="AK345" s="30"/>
      <c r="AL345" s="30"/>
      <c r="AM345" s="30"/>
      <c r="AN345" s="30"/>
      <c r="AO345" s="30"/>
    </row>
    <row r="346" spans="1:41" s="39" customFormat="1" ht="21" customHeight="1">
      <c r="A346" s="32"/>
      <c r="B346" s="107" t="s">
        <v>113</v>
      </c>
      <c r="C346" s="14" t="s">
        <v>164</v>
      </c>
      <c r="D346" s="15" t="s">
        <v>228</v>
      </c>
      <c r="E346" s="16" t="s">
        <v>229</v>
      </c>
      <c r="F346" s="15"/>
      <c r="G346" s="15"/>
      <c r="H346" s="15"/>
      <c r="I346" s="17"/>
      <c r="J346" s="15"/>
      <c r="K346" s="15"/>
      <c r="L346" s="15"/>
      <c r="M346" s="15"/>
      <c r="N346" s="15"/>
      <c r="O346" s="15"/>
      <c r="P346" s="15"/>
      <c r="Q346" s="15"/>
      <c r="R346" s="15"/>
      <c r="S346" s="15"/>
      <c r="T346" s="15"/>
      <c r="U346" s="15"/>
      <c r="V346" s="18"/>
      <c r="W346" s="18"/>
      <c r="X346" s="30"/>
      <c r="Y346" s="30"/>
      <c r="Z346" s="30"/>
      <c r="AA346" s="30"/>
      <c r="AB346" s="34"/>
      <c r="AC346" s="30"/>
      <c r="AD346" s="30"/>
      <c r="AE346" s="30"/>
      <c r="AF346" s="30"/>
      <c r="AG346" s="30"/>
      <c r="AH346" s="30"/>
      <c r="AI346" s="30"/>
      <c r="AJ346" s="30"/>
      <c r="AK346" s="30"/>
      <c r="AL346" s="30"/>
      <c r="AM346" s="30"/>
      <c r="AN346" s="30"/>
      <c r="AO346" s="30"/>
    </row>
    <row r="347" spans="1:41" s="39" customFormat="1" ht="19.5" customHeight="1">
      <c r="A347" s="32">
        <v>3</v>
      </c>
      <c r="B347" s="107"/>
      <c r="C347" s="20" t="str">
        <f>IF(A347="","VARA",VLOOKUP(A347,'[1]varas'!$A$4:$B$67,2))</f>
        <v>3ª VT Recife</v>
      </c>
      <c r="D347" s="15"/>
      <c r="E347" s="16"/>
      <c r="F347" s="15">
        <v>10</v>
      </c>
      <c r="G347" s="15">
        <v>3</v>
      </c>
      <c r="H347" s="15">
        <v>6</v>
      </c>
      <c r="I347" s="17">
        <f aca="true" t="shared" si="104" ref="I347:I354">SUM(F347:H347)</f>
        <v>19</v>
      </c>
      <c r="J347" s="15">
        <v>3</v>
      </c>
      <c r="K347" s="15">
        <v>0</v>
      </c>
      <c r="L347" s="15">
        <v>2</v>
      </c>
      <c r="M347" s="15">
        <v>8</v>
      </c>
      <c r="N347" s="15">
        <v>0</v>
      </c>
      <c r="O347" s="15">
        <v>0</v>
      </c>
      <c r="P347" s="15">
        <f aca="true" t="shared" si="105" ref="P347:P354">SUM(J347:O347)</f>
        <v>13</v>
      </c>
      <c r="Q347" s="15">
        <v>0</v>
      </c>
      <c r="R347" s="15">
        <v>6</v>
      </c>
      <c r="S347" s="15">
        <v>0</v>
      </c>
      <c r="T347" s="15">
        <v>0</v>
      </c>
      <c r="U347" s="15">
        <v>0</v>
      </c>
      <c r="V347" s="18"/>
      <c r="W347" s="18"/>
      <c r="X347" s="30"/>
      <c r="Y347" s="30"/>
      <c r="Z347" s="30"/>
      <c r="AA347" s="30"/>
      <c r="AB347" s="34"/>
      <c r="AC347" s="30"/>
      <c r="AD347" s="30"/>
      <c r="AE347" s="30"/>
      <c r="AF347" s="30"/>
      <c r="AG347" s="30"/>
      <c r="AH347" s="30"/>
      <c r="AI347" s="30"/>
      <c r="AJ347" s="30"/>
      <c r="AK347" s="30"/>
      <c r="AL347" s="30"/>
      <c r="AM347" s="30"/>
      <c r="AN347" s="30"/>
      <c r="AO347" s="30"/>
    </row>
    <row r="348" spans="1:41" s="39" customFormat="1" ht="19.5" customHeight="1">
      <c r="A348" s="32">
        <v>17</v>
      </c>
      <c r="B348" s="107"/>
      <c r="C348" s="20" t="str">
        <f>IF(A348="","VARA",VLOOKUP(A348,'[1]varas'!$A$4:$B$67,2))</f>
        <v>17ª VT Recife</v>
      </c>
      <c r="D348" s="15"/>
      <c r="E348" s="16"/>
      <c r="F348" s="15">
        <v>9</v>
      </c>
      <c r="G348" s="15">
        <v>0</v>
      </c>
      <c r="H348" s="15">
        <v>0</v>
      </c>
      <c r="I348" s="17">
        <f t="shared" si="104"/>
        <v>9</v>
      </c>
      <c r="J348" s="15">
        <v>0</v>
      </c>
      <c r="K348" s="15">
        <v>1</v>
      </c>
      <c r="L348" s="15">
        <v>0</v>
      </c>
      <c r="M348" s="15">
        <v>0</v>
      </c>
      <c r="N348" s="15">
        <v>0</v>
      </c>
      <c r="O348" s="15">
        <v>5</v>
      </c>
      <c r="P348" s="15">
        <f t="shared" si="105"/>
        <v>6</v>
      </c>
      <c r="Q348" s="15">
        <v>3</v>
      </c>
      <c r="R348" s="15">
        <v>0</v>
      </c>
      <c r="S348" s="15">
        <v>0</v>
      </c>
      <c r="T348" s="15">
        <v>0</v>
      </c>
      <c r="U348" s="15">
        <v>16</v>
      </c>
      <c r="V348" s="18"/>
      <c r="W348" s="18"/>
      <c r="X348" s="30"/>
      <c r="Y348" s="30"/>
      <c r="Z348" s="30"/>
      <c r="AA348" s="30"/>
      <c r="AB348" s="34"/>
      <c r="AC348" s="30"/>
      <c r="AD348" s="30"/>
      <c r="AE348" s="30"/>
      <c r="AF348" s="30"/>
      <c r="AG348" s="30"/>
      <c r="AH348" s="30"/>
      <c r="AI348" s="30"/>
      <c r="AJ348" s="30"/>
      <c r="AK348" s="30"/>
      <c r="AL348" s="30"/>
      <c r="AM348" s="30"/>
      <c r="AN348" s="30"/>
      <c r="AO348" s="30"/>
    </row>
    <row r="349" spans="1:41" s="39" customFormat="1" ht="19.5" customHeight="1">
      <c r="A349" s="32">
        <v>19</v>
      </c>
      <c r="B349" s="107"/>
      <c r="C349" s="20" t="str">
        <f>IF(A349="","VARA",VLOOKUP(A349,'[1]varas'!$A$4:$B$67,2))</f>
        <v>19ª VT Recife</v>
      </c>
      <c r="D349" s="15"/>
      <c r="E349" s="16"/>
      <c r="F349" s="15">
        <v>9</v>
      </c>
      <c r="G349" s="15">
        <v>6</v>
      </c>
      <c r="H349" s="15">
        <v>3</v>
      </c>
      <c r="I349" s="17">
        <f t="shared" si="104"/>
        <v>18</v>
      </c>
      <c r="J349" s="15">
        <v>4</v>
      </c>
      <c r="K349" s="15">
        <v>4</v>
      </c>
      <c r="L349" s="15">
        <v>0</v>
      </c>
      <c r="M349" s="15">
        <v>0</v>
      </c>
      <c r="N349" s="15">
        <v>0</v>
      </c>
      <c r="O349" s="15">
        <v>2</v>
      </c>
      <c r="P349" s="15">
        <f t="shared" si="105"/>
        <v>10</v>
      </c>
      <c r="Q349" s="15">
        <v>0</v>
      </c>
      <c r="R349" s="15">
        <v>7</v>
      </c>
      <c r="S349" s="15">
        <v>1</v>
      </c>
      <c r="T349" s="15">
        <v>0</v>
      </c>
      <c r="U349" s="15">
        <v>17</v>
      </c>
      <c r="V349" s="18"/>
      <c r="W349" s="18"/>
      <c r="X349" s="30"/>
      <c r="Y349" s="30"/>
      <c r="Z349" s="30"/>
      <c r="AA349" s="30"/>
      <c r="AB349" s="34"/>
      <c r="AC349" s="30"/>
      <c r="AD349" s="30"/>
      <c r="AE349" s="30"/>
      <c r="AF349" s="30"/>
      <c r="AG349" s="30"/>
      <c r="AH349" s="30"/>
      <c r="AI349" s="30"/>
      <c r="AJ349" s="30"/>
      <c r="AK349" s="30"/>
      <c r="AL349" s="30"/>
      <c r="AM349" s="30"/>
      <c r="AN349" s="30"/>
      <c r="AO349" s="30"/>
    </row>
    <row r="350" spans="1:41" s="39" customFormat="1" ht="19.5" customHeight="1">
      <c r="A350" s="32">
        <v>21</v>
      </c>
      <c r="B350" s="107"/>
      <c r="C350" s="20" t="str">
        <f>IF(A350="","VARA",VLOOKUP(A350,'[1]varas'!$A$4:$B$67,2))</f>
        <v>21ª VT Recife</v>
      </c>
      <c r="D350" s="15"/>
      <c r="E350" s="16"/>
      <c r="F350" s="15">
        <v>1</v>
      </c>
      <c r="G350" s="15">
        <v>0</v>
      </c>
      <c r="H350" s="15">
        <v>0</v>
      </c>
      <c r="I350" s="17">
        <f t="shared" si="104"/>
        <v>1</v>
      </c>
      <c r="J350" s="15">
        <v>0</v>
      </c>
      <c r="K350" s="15">
        <v>0</v>
      </c>
      <c r="L350" s="15">
        <v>0</v>
      </c>
      <c r="M350" s="15">
        <v>0</v>
      </c>
      <c r="N350" s="15">
        <v>0</v>
      </c>
      <c r="O350" s="15">
        <v>1</v>
      </c>
      <c r="P350" s="15">
        <f t="shared" si="105"/>
        <v>1</v>
      </c>
      <c r="Q350" s="15">
        <v>0</v>
      </c>
      <c r="R350" s="15">
        <v>0</v>
      </c>
      <c r="S350" s="15">
        <v>0</v>
      </c>
      <c r="T350" s="15">
        <v>0</v>
      </c>
      <c r="U350" s="15">
        <v>1</v>
      </c>
      <c r="V350" s="18"/>
      <c r="W350" s="18"/>
      <c r="X350" s="30"/>
      <c r="Y350" s="30"/>
      <c r="Z350" s="30"/>
      <c r="AA350" s="30"/>
      <c r="AB350" s="34"/>
      <c r="AC350" s="30"/>
      <c r="AD350" s="30"/>
      <c r="AE350" s="30"/>
      <c r="AF350" s="30"/>
      <c r="AG350" s="30"/>
      <c r="AH350" s="30"/>
      <c r="AI350" s="30"/>
      <c r="AJ350" s="30"/>
      <c r="AK350" s="30"/>
      <c r="AL350" s="30"/>
      <c r="AM350" s="30"/>
      <c r="AN350" s="30"/>
      <c r="AO350" s="30"/>
    </row>
    <row r="351" spans="1:41" s="39" customFormat="1" ht="19.5" customHeight="1">
      <c r="A351" s="32">
        <v>56</v>
      </c>
      <c r="B351" s="107"/>
      <c r="C351" s="20" t="str">
        <f>IF(A351="","VARA",VLOOKUP(A351,'[1]varas'!$A$4:$B$67,2))</f>
        <v>VT Ribeirão</v>
      </c>
      <c r="D351" s="15"/>
      <c r="E351" s="16"/>
      <c r="F351" s="15">
        <f>45+44+6</f>
        <v>95</v>
      </c>
      <c r="G351" s="15">
        <v>0</v>
      </c>
      <c r="H351" s="15">
        <v>0</v>
      </c>
      <c r="I351" s="17">
        <f t="shared" si="104"/>
        <v>95</v>
      </c>
      <c r="J351" s="15">
        <v>1</v>
      </c>
      <c r="K351" s="15">
        <v>19</v>
      </c>
      <c r="L351" s="15">
        <v>3</v>
      </c>
      <c r="M351" s="15">
        <v>3</v>
      </c>
      <c r="N351" s="15">
        <v>0</v>
      </c>
      <c r="O351" s="15">
        <v>44</v>
      </c>
      <c r="P351" s="15">
        <f t="shared" si="105"/>
        <v>70</v>
      </c>
      <c r="Q351" s="15">
        <v>9</v>
      </c>
      <c r="R351" s="15">
        <v>14</v>
      </c>
      <c r="S351" s="15">
        <v>1</v>
      </c>
      <c r="T351" s="15">
        <v>1</v>
      </c>
      <c r="U351" s="15">
        <v>216</v>
      </c>
      <c r="V351" s="18"/>
      <c r="W351" s="18"/>
      <c r="X351" s="30"/>
      <c r="Y351" s="30"/>
      <c r="Z351" s="30"/>
      <c r="AA351" s="30"/>
      <c r="AB351" s="34"/>
      <c r="AC351" s="30"/>
      <c r="AD351" s="30"/>
      <c r="AE351" s="30"/>
      <c r="AF351" s="30"/>
      <c r="AG351" s="30"/>
      <c r="AH351" s="30"/>
      <c r="AI351" s="30"/>
      <c r="AJ351" s="30"/>
      <c r="AK351" s="30"/>
      <c r="AL351" s="30"/>
      <c r="AM351" s="30"/>
      <c r="AN351" s="30"/>
      <c r="AO351" s="30"/>
    </row>
    <row r="352" spans="1:41" s="39" customFormat="1" ht="19.5" customHeight="1">
      <c r="A352" s="32">
        <v>61</v>
      </c>
      <c r="B352" s="107"/>
      <c r="C352" s="20" t="str">
        <f>IF(A352="","VARA",VLOOKUP(A352,'[1]varas'!$A$4:$B$67,2))</f>
        <v>VT Vitória</v>
      </c>
      <c r="D352" s="15"/>
      <c r="E352" s="16"/>
      <c r="F352" s="15">
        <v>0</v>
      </c>
      <c r="G352" s="15">
        <v>3</v>
      </c>
      <c r="H352" s="15">
        <v>0</v>
      </c>
      <c r="I352" s="17">
        <f t="shared" si="104"/>
        <v>3</v>
      </c>
      <c r="J352" s="15">
        <v>3</v>
      </c>
      <c r="K352" s="15">
        <v>0</v>
      </c>
      <c r="L352" s="15">
        <v>0</v>
      </c>
      <c r="M352" s="15">
        <v>0</v>
      </c>
      <c r="N352" s="15">
        <v>0</v>
      </c>
      <c r="O352" s="15">
        <v>0</v>
      </c>
      <c r="P352" s="15">
        <f t="shared" si="105"/>
        <v>3</v>
      </c>
      <c r="Q352" s="15">
        <v>0</v>
      </c>
      <c r="R352" s="15">
        <v>0</v>
      </c>
      <c r="S352" s="15">
        <v>0</v>
      </c>
      <c r="T352" s="15">
        <v>0</v>
      </c>
      <c r="U352" s="15">
        <v>0</v>
      </c>
      <c r="V352" s="18"/>
      <c r="W352" s="18"/>
      <c r="X352" s="30"/>
      <c r="Y352" s="30"/>
      <c r="Z352" s="30"/>
      <c r="AA352" s="30"/>
      <c r="AB352" s="34"/>
      <c r="AC352" s="30"/>
      <c r="AD352" s="30"/>
      <c r="AE352" s="30"/>
      <c r="AF352" s="30"/>
      <c r="AG352" s="30"/>
      <c r="AH352" s="30"/>
      <c r="AI352" s="30"/>
      <c r="AJ352" s="30"/>
      <c r="AK352" s="30"/>
      <c r="AL352" s="30"/>
      <c r="AM352" s="30"/>
      <c r="AN352" s="30"/>
      <c r="AO352" s="30"/>
    </row>
    <row r="353" spans="1:41" s="39" customFormat="1" ht="18.75" customHeight="1">
      <c r="A353" s="32">
        <v>26</v>
      </c>
      <c r="B353" s="107"/>
      <c r="C353" s="20" t="str">
        <f>IF(A353="","VARA",VLOOKUP(A353,'[1]varas'!$A$4:$B$67,2))</f>
        <v>1ª VT Cabo</v>
      </c>
      <c r="D353" s="15"/>
      <c r="E353" s="16"/>
      <c r="F353" s="15">
        <v>0</v>
      </c>
      <c r="G353" s="15">
        <v>0</v>
      </c>
      <c r="H353" s="15">
        <v>2</v>
      </c>
      <c r="I353" s="17">
        <f t="shared" si="104"/>
        <v>2</v>
      </c>
      <c r="J353" s="15">
        <v>2</v>
      </c>
      <c r="K353" s="15">
        <v>0</v>
      </c>
      <c r="L353" s="15">
        <v>0</v>
      </c>
      <c r="M353" s="15">
        <v>0</v>
      </c>
      <c r="N353" s="15">
        <v>0</v>
      </c>
      <c r="O353" s="15">
        <v>0</v>
      </c>
      <c r="P353" s="15">
        <f t="shared" si="105"/>
        <v>2</v>
      </c>
      <c r="Q353" s="15">
        <v>0</v>
      </c>
      <c r="R353" s="15">
        <v>0</v>
      </c>
      <c r="S353" s="15">
        <v>0</v>
      </c>
      <c r="T353" s="15">
        <v>0</v>
      </c>
      <c r="U353" s="15">
        <v>0</v>
      </c>
      <c r="V353" s="18"/>
      <c r="W353" s="18"/>
      <c r="X353" s="30"/>
      <c r="Y353" s="30"/>
      <c r="Z353" s="30"/>
      <c r="AA353" s="30"/>
      <c r="AB353" s="34"/>
      <c r="AC353" s="30"/>
      <c r="AD353" s="30"/>
      <c r="AE353" s="30"/>
      <c r="AF353" s="30"/>
      <c r="AG353" s="30"/>
      <c r="AH353" s="30"/>
      <c r="AI353" s="30"/>
      <c r="AJ353" s="30"/>
      <c r="AK353" s="30"/>
      <c r="AL353" s="30"/>
      <c r="AM353" s="30"/>
      <c r="AN353" s="30"/>
      <c r="AO353" s="30"/>
    </row>
    <row r="354" spans="1:41" s="53" customFormat="1" ht="19.5" customHeight="1">
      <c r="A354" s="47"/>
      <c r="B354" s="107"/>
      <c r="C354" s="20" t="s">
        <v>12</v>
      </c>
      <c r="D354" s="24"/>
      <c r="E354" s="48"/>
      <c r="F354" s="24">
        <f>SUM(F346:F353)</f>
        <v>124</v>
      </c>
      <c r="G354" s="24">
        <f>SUM(G346:G353)</f>
        <v>12</v>
      </c>
      <c r="H354" s="24">
        <f>SUM(H346:H353)</f>
        <v>11</v>
      </c>
      <c r="I354" s="40">
        <f t="shared" si="104"/>
        <v>147</v>
      </c>
      <c r="J354" s="24">
        <f aca="true" t="shared" si="106" ref="J354:O354">SUM(J346:J353)</f>
        <v>13</v>
      </c>
      <c r="K354" s="24">
        <f t="shared" si="106"/>
        <v>24</v>
      </c>
      <c r="L354" s="24">
        <f t="shared" si="106"/>
        <v>5</v>
      </c>
      <c r="M354" s="24">
        <f t="shared" si="106"/>
        <v>11</v>
      </c>
      <c r="N354" s="24">
        <f t="shared" si="106"/>
        <v>0</v>
      </c>
      <c r="O354" s="24">
        <f t="shared" si="106"/>
        <v>52</v>
      </c>
      <c r="P354" s="24">
        <f t="shared" si="105"/>
        <v>105</v>
      </c>
      <c r="Q354" s="24">
        <f>SUM(Q346:Q353)</f>
        <v>12</v>
      </c>
      <c r="R354" s="24">
        <f>SUM(R346:R353)</f>
        <v>27</v>
      </c>
      <c r="S354" s="24">
        <f>SUM(S346:S353)</f>
        <v>2</v>
      </c>
      <c r="T354" s="24">
        <f>SUM(T346:T353)</f>
        <v>1</v>
      </c>
      <c r="U354" s="24">
        <f>SUM(U346:U353)</f>
        <v>250</v>
      </c>
      <c r="V354" s="26">
        <f>IF(I354-Q354=0,"",IF(D354="",(P354+S354)/(I354-Q354),IF(AND(D354&lt;&gt;"",(P354+S354)/(I354-Q354)&gt;=50%),(P354+S354)/(I354-Q354),"")))</f>
        <v>0.7925925925925926</v>
      </c>
      <c r="W354" s="26">
        <f>IF(I354=O354,"",IF(V354="",0,(P354+Q354+S354-O354)/(I354-O354)))</f>
        <v>0.7052631578947368</v>
      </c>
      <c r="X354" s="49"/>
      <c r="Y354" s="49"/>
      <c r="Z354" s="49"/>
      <c r="AA354" s="49"/>
      <c r="AB354" s="50"/>
      <c r="AC354" s="49"/>
      <c r="AD354" s="49"/>
      <c r="AE354" s="49"/>
      <c r="AF354" s="49"/>
      <c r="AG354" s="49"/>
      <c r="AH354" s="49"/>
      <c r="AI354" s="49"/>
      <c r="AJ354" s="49"/>
      <c r="AK354" s="49"/>
      <c r="AL354" s="49"/>
      <c r="AM354" s="49"/>
      <c r="AN354" s="49"/>
      <c r="AO354" s="49"/>
    </row>
    <row r="355" spans="1:41" s="39" customFormat="1" ht="22.5" customHeight="1">
      <c r="A355" s="32"/>
      <c r="B355" s="107" t="s">
        <v>114</v>
      </c>
      <c r="C355" s="14" t="s">
        <v>2</v>
      </c>
      <c r="D355" s="29"/>
      <c r="E355" s="16" t="s">
        <v>27</v>
      </c>
      <c r="F355" s="15"/>
      <c r="G355" s="15"/>
      <c r="H355" s="15"/>
      <c r="I355" s="17"/>
      <c r="J355" s="15"/>
      <c r="K355" s="15"/>
      <c r="L355" s="15"/>
      <c r="M355" s="15"/>
      <c r="N355" s="15"/>
      <c r="O355" s="15"/>
      <c r="P355" s="15"/>
      <c r="Q355" s="15"/>
      <c r="R355" s="15"/>
      <c r="S355" s="15"/>
      <c r="T355" s="15"/>
      <c r="U355" s="15"/>
      <c r="V355" s="18"/>
      <c r="W355" s="18"/>
      <c r="X355" s="30"/>
      <c r="Y355" s="30"/>
      <c r="Z355" s="30"/>
      <c r="AA355" s="30"/>
      <c r="AB355" s="34"/>
      <c r="AC355" s="30"/>
      <c r="AD355" s="30"/>
      <c r="AE355" s="30"/>
      <c r="AF355" s="30"/>
      <c r="AG355" s="30"/>
      <c r="AH355" s="30"/>
      <c r="AI355" s="30"/>
      <c r="AJ355" s="30"/>
      <c r="AK355" s="30"/>
      <c r="AL355" s="30"/>
      <c r="AM355" s="30"/>
      <c r="AN355" s="30"/>
      <c r="AO355" s="30"/>
    </row>
    <row r="356" spans="1:41" s="39" customFormat="1" ht="22.5" customHeight="1">
      <c r="A356" s="32">
        <v>1</v>
      </c>
      <c r="B356" s="107"/>
      <c r="C356" s="20" t="str">
        <f>IF(A356="","VARA",VLOOKUP(A356,'[1]varas'!$A$4:$B$67,2))</f>
        <v>1ª VT Recife</v>
      </c>
      <c r="D356" s="29"/>
      <c r="E356" s="16"/>
      <c r="F356" s="15">
        <f>29+27+12+4</f>
        <v>72</v>
      </c>
      <c r="G356" s="15">
        <v>14</v>
      </c>
      <c r="H356" s="15">
        <v>2</v>
      </c>
      <c r="I356" s="17">
        <f>SUM(F356:H356)</f>
        <v>88</v>
      </c>
      <c r="J356" s="15">
        <v>40</v>
      </c>
      <c r="K356" s="15">
        <v>2</v>
      </c>
      <c r="L356" s="15">
        <v>12</v>
      </c>
      <c r="M356" s="15">
        <v>4</v>
      </c>
      <c r="N356" s="15">
        <v>0</v>
      </c>
      <c r="O356" s="15">
        <v>27</v>
      </c>
      <c r="P356" s="15">
        <f>SUM(J356:O356)</f>
        <v>85</v>
      </c>
      <c r="Q356" s="15">
        <v>0</v>
      </c>
      <c r="R356" s="15">
        <v>3</v>
      </c>
      <c r="S356" s="15">
        <v>0</v>
      </c>
      <c r="T356" s="15">
        <v>0</v>
      </c>
      <c r="U356" s="15">
        <v>140</v>
      </c>
      <c r="V356" s="18"/>
      <c r="W356" s="18"/>
      <c r="X356" s="30"/>
      <c r="Y356" s="30"/>
      <c r="Z356" s="30"/>
      <c r="AA356" s="30"/>
      <c r="AB356" s="34"/>
      <c r="AC356" s="30"/>
      <c r="AD356" s="30"/>
      <c r="AE356" s="30"/>
      <c r="AF356" s="30"/>
      <c r="AG356" s="30"/>
      <c r="AH356" s="30"/>
      <c r="AI356" s="30"/>
      <c r="AJ356" s="30"/>
      <c r="AK356" s="30"/>
      <c r="AL356" s="30"/>
      <c r="AM356" s="30"/>
      <c r="AN356" s="30"/>
      <c r="AO356" s="30"/>
    </row>
    <row r="357" spans="1:41" s="39" customFormat="1" ht="20.25" customHeight="1">
      <c r="A357" s="32">
        <v>6</v>
      </c>
      <c r="B357" s="107"/>
      <c r="C357" s="20" t="str">
        <f>IF(A357="","VARA",VLOOKUP(A357,'[1]varas'!$A$4:$B$67,2))</f>
        <v>6ª VT Recife</v>
      </c>
      <c r="D357" s="29"/>
      <c r="E357" s="16"/>
      <c r="F357" s="15">
        <v>12</v>
      </c>
      <c r="G357" s="15">
        <v>0</v>
      </c>
      <c r="H357" s="15">
        <v>0</v>
      </c>
      <c r="I357" s="17">
        <f>SUM(F357:H357)</f>
        <v>12</v>
      </c>
      <c r="J357" s="15">
        <v>0</v>
      </c>
      <c r="K357" s="15">
        <v>1</v>
      </c>
      <c r="L357" s="15">
        <v>0</v>
      </c>
      <c r="M357" s="15">
        <v>0</v>
      </c>
      <c r="N357" s="15">
        <v>0</v>
      </c>
      <c r="O357" s="15">
        <v>6</v>
      </c>
      <c r="P357" s="15">
        <f>SUM(J357:O357)</f>
        <v>7</v>
      </c>
      <c r="Q357" s="15">
        <v>0</v>
      </c>
      <c r="R357" s="15">
        <v>5</v>
      </c>
      <c r="S357" s="15">
        <v>0</v>
      </c>
      <c r="T357" s="15">
        <v>0</v>
      </c>
      <c r="U357" s="15">
        <v>15</v>
      </c>
      <c r="V357" s="18"/>
      <c r="W357" s="18"/>
      <c r="X357" s="30"/>
      <c r="Y357" s="30"/>
      <c r="Z357" s="30"/>
      <c r="AA357" s="30"/>
      <c r="AB357" s="34"/>
      <c r="AC357" s="30"/>
      <c r="AD357" s="30"/>
      <c r="AE357" s="30"/>
      <c r="AF357" s="30"/>
      <c r="AG357" s="30"/>
      <c r="AH357" s="30"/>
      <c r="AI357" s="30"/>
      <c r="AJ357" s="30"/>
      <c r="AK357" s="30"/>
      <c r="AL357" s="30"/>
      <c r="AM357" s="30"/>
      <c r="AN357" s="30"/>
      <c r="AO357" s="30"/>
    </row>
    <row r="358" spans="1:41" s="53" customFormat="1" ht="20.25" customHeight="1">
      <c r="A358" s="47"/>
      <c r="B358" s="107"/>
      <c r="C358" s="20" t="s">
        <v>12</v>
      </c>
      <c r="D358" s="24"/>
      <c r="E358" s="48"/>
      <c r="F358" s="24">
        <f>SUM(F355:F357)</f>
        <v>84</v>
      </c>
      <c r="G358" s="24">
        <f>SUM(G355:G357)</f>
        <v>14</v>
      </c>
      <c r="H358" s="24">
        <f>SUM(H355:H357)</f>
        <v>2</v>
      </c>
      <c r="I358" s="40">
        <f>SUM(F358:H358)</f>
        <v>100</v>
      </c>
      <c r="J358" s="24">
        <f aca="true" t="shared" si="107" ref="J358:O358">SUM(J355:J357)</f>
        <v>40</v>
      </c>
      <c r="K358" s="24">
        <f t="shared" si="107"/>
        <v>3</v>
      </c>
      <c r="L358" s="24">
        <f t="shared" si="107"/>
        <v>12</v>
      </c>
      <c r="M358" s="24">
        <f t="shared" si="107"/>
        <v>4</v>
      </c>
      <c r="N358" s="24">
        <f t="shared" si="107"/>
        <v>0</v>
      </c>
      <c r="O358" s="24">
        <f t="shared" si="107"/>
        <v>33</v>
      </c>
      <c r="P358" s="24">
        <f>SUM(J358:O358)</f>
        <v>92</v>
      </c>
      <c r="Q358" s="24">
        <f>SUM(Q355:Q357)</f>
        <v>0</v>
      </c>
      <c r="R358" s="24">
        <f>SUM(R355:R357)</f>
        <v>8</v>
      </c>
      <c r="S358" s="24">
        <f>SUM(S355:S357)</f>
        <v>0</v>
      </c>
      <c r="T358" s="24">
        <f>SUM(T355:T357)</f>
        <v>0</v>
      </c>
      <c r="U358" s="24">
        <f>SUM(U355:U357)</f>
        <v>155</v>
      </c>
      <c r="V358" s="26">
        <f>IF(I358-Q358=0,"",IF(D358="",(P358+S358)/(I358-Q358),IF(AND(D358&lt;&gt;"",(P358+S358)/(I358-Q358)&gt;=50%),(P358+S358)/(I358-Q358),"")))</f>
        <v>0.92</v>
      </c>
      <c r="W358" s="26">
        <f>IF(I358=O358,"",IF(V358="",0,(P358+Q358+S358-O358)/(I358-O358)))</f>
        <v>0.8805970149253731</v>
      </c>
      <c r="X358" s="49"/>
      <c r="Y358" s="49"/>
      <c r="Z358" s="49"/>
      <c r="AA358" s="49"/>
      <c r="AB358" s="50"/>
      <c r="AC358" s="49"/>
      <c r="AD358" s="49"/>
      <c r="AE358" s="49"/>
      <c r="AF358" s="49"/>
      <c r="AG358" s="49"/>
      <c r="AH358" s="49"/>
      <c r="AI358" s="49"/>
      <c r="AJ358" s="49"/>
      <c r="AK358" s="49"/>
      <c r="AL358" s="49"/>
      <c r="AM358" s="49"/>
      <c r="AN358" s="49"/>
      <c r="AO358" s="49"/>
    </row>
    <row r="359" spans="1:41" s="39" customFormat="1" ht="21" customHeight="1">
      <c r="A359" s="32"/>
      <c r="B359" s="107" t="s">
        <v>115</v>
      </c>
      <c r="C359" s="14" t="s">
        <v>2</v>
      </c>
      <c r="D359" s="29"/>
      <c r="E359" s="16" t="s">
        <v>27</v>
      </c>
      <c r="F359" s="15"/>
      <c r="G359" s="15"/>
      <c r="H359" s="15"/>
      <c r="I359" s="17"/>
      <c r="J359" s="15"/>
      <c r="K359" s="15"/>
      <c r="L359" s="15"/>
      <c r="M359" s="15"/>
      <c r="N359" s="15"/>
      <c r="O359" s="15"/>
      <c r="P359" s="15"/>
      <c r="Q359" s="15"/>
      <c r="R359" s="15"/>
      <c r="S359" s="15"/>
      <c r="T359" s="15"/>
      <c r="U359" s="15"/>
      <c r="V359" s="18"/>
      <c r="W359" s="18"/>
      <c r="X359" s="30"/>
      <c r="Y359" s="30"/>
      <c r="Z359" s="30"/>
      <c r="AA359" s="30"/>
      <c r="AB359" s="34"/>
      <c r="AC359" s="30"/>
      <c r="AD359" s="30"/>
      <c r="AE359" s="30"/>
      <c r="AF359" s="30"/>
      <c r="AG359" s="30"/>
      <c r="AH359" s="30"/>
      <c r="AI359" s="30"/>
      <c r="AJ359" s="30"/>
      <c r="AK359" s="30"/>
      <c r="AL359" s="30"/>
      <c r="AM359" s="30"/>
      <c r="AN359" s="30"/>
      <c r="AO359" s="30"/>
    </row>
    <row r="360" spans="1:41" s="39" customFormat="1" ht="19.5" customHeight="1">
      <c r="A360" s="32">
        <v>33</v>
      </c>
      <c r="B360" s="107"/>
      <c r="C360" s="20" t="str">
        <f>IF(A360="","VARA",VLOOKUP(A360,'[1]varas'!$A$4:$B$67,2))</f>
        <v>2ª VT Ipojuca</v>
      </c>
      <c r="D360" s="29"/>
      <c r="E360" s="16"/>
      <c r="F360" s="15">
        <f>55+30+17</f>
        <v>102</v>
      </c>
      <c r="G360" s="15">
        <v>14</v>
      </c>
      <c r="H360" s="15">
        <v>4</v>
      </c>
      <c r="I360" s="17">
        <f>SUM(F360:H360)</f>
        <v>120</v>
      </c>
      <c r="J360" s="15">
        <v>35</v>
      </c>
      <c r="K360" s="15">
        <v>21</v>
      </c>
      <c r="L360" s="15">
        <v>16</v>
      </c>
      <c r="M360" s="15">
        <v>1</v>
      </c>
      <c r="N360" s="15">
        <v>0</v>
      </c>
      <c r="O360" s="15">
        <v>30</v>
      </c>
      <c r="P360" s="15">
        <f>SUM(J360:O360)</f>
        <v>103</v>
      </c>
      <c r="Q360" s="15">
        <v>15</v>
      </c>
      <c r="R360" s="15">
        <v>2</v>
      </c>
      <c r="S360" s="15">
        <v>0</v>
      </c>
      <c r="T360" s="15">
        <v>0</v>
      </c>
      <c r="U360" s="15">
        <v>262</v>
      </c>
      <c r="V360" s="18"/>
      <c r="W360" s="18"/>
      <c r="X360" s="30"/>
      <c r="Y360" s="30"/>
      <c r="Z360" s="30"/>
      <c r="AA360" s="30"/>
      <c r="AB360" s="34"/>
      <c r="AC360" s="30"/>
      <c r="AD360" s="30"/>
      <c r="AE360" s="30"/>
      <c r="AF360" s="30"/>
      <c r="AG360" s="30"/>
      <c r="AH360" s="30"/>
      <c r="AI360" s="30"/>
      <c r="AJ360" s="30"/>
      <c r="AK360" s="30"/>
      <c r="AL360" s="30"/>
      <c r="AM360" s="30"/>
      <c r="AN360" s="30"/>
      <c r="AO360" s="30"/>
    </row>
    <row r="361" spans="1:41" s="53" customFormat="1" ht="17.25" customHeight="1">
      <c r="A361" s="47"/>
      <c r="B361" s="107"/>
      <c r="C361" s="20" t="s">
        <v>12</v>
      </c>
      <c r="D361" s="24"/>
      <c r="E361" s="48"/>
      <c r="F361" s="24">
        <f>SUM(F359:F360)</f>
        <v>102</v>
      </c>
      <c r="G361" s="24">
        <f>SUM(G359:G360)</f>
        <v>14</v>
      </c>
      <c r="H361" s="24">
        <f>SUM(H359:H360)</f>
        <v>4</v>
      </c>
      <c r="I361" s="40">
        <f>SUM(F361:H361)</f>
        <v>120</v>
      </c>
      <c r="J361" s="24">
        <f aca="true" t="shared" si="108" ref="J361:O361">SUM(J359:J360)</f>
        <v>35</v>
      </c>
      <c r="K361" s="24">
        <f t="shared" si="108"/>
        <v>21</v>
      </c>
      <c r="L361" s="24">
        <f t="shared" si="108"/>
        <v>16</v>
      </c>
      <c r="M361" s="24">
        <f t="shared" si="108"/>
        <v>1</v>
      </c>
      <c r="N361" s="24">
        <f t="shared" si="108"/>
        <v>0</v>
      </c>
      <c r="O361" s="24">
        <f t="shared" si="108"/>
        <v>30</v>
      </c>
      <c r="P361" s="24">
        <f>SUM(J361:O361)</f>
        <v>103</v>
      </c>
      <c r="Q361" s="24">
        <f>SUM(Q359:Q360)</f>
        <v>15</v>
      </c>
      <c r="R361" s="24">
        <f>SUM(R359:R360)</f>
        <v>2</v>
      </c>
      <c r="S361" s="24">
        <f>SUM(S359:S360)</f>
        <v>0</v>
      </c>
      <c r="T361" s="24">
        <f>SUM(T359:T360)</f>
        <v>0</v>
      </c>
      <c r="U361" s="24">
        <f>SUM(U359:U360)</f>
        <v>262</v>
      </c>
      <c r="V361" s="26">
        <f>IF(I361-Q361=0,"",IF(D361="",(P361+S361)/(I361-Q361),IF(AND(D361&lt;&gt;"",(P361+S361)/(I361-Q361)&gt;=50%),(P361+S361)/(I361-Q361),"")))</f>
        <v>0.9809523809523809</v>
      </c>
      <c r="W361" s="26">
        <f>IF(I361=O361,"",IF(V361="",0,(P361+Q361+S361-O361)/(I361-O361)))</f>
        <v>0.9777777777777777</v>
      </c>
      <c r="X361" s="49"/>
      <c r="Y361" s="49"/>
      <c r="Z361" s="49"/>
      <c r="AA361" s="49"/>
      <c r="AB361" s="50"/>
      <c r="AC361" s="49"/>
      <c r="AD361" s="49"/>
      <c r="AE361" s="49"/>
      <c r="AF361" s="49"/>
      <c r="AG361" s="49"/>
      <c r="AH361" s="49"/>
      <c r="AI361" s="49"/>
      <c r="AJ361" s="49"/>
      <c r="AK361" s="49"/>
      <c r="AL361" s="49"/>
      <c r="AM361" s="49"/>
      <c r="AN361" s="49"/>
      <c r="AO361" s="49"/>
    </row>
    <row r="362" spans="1:41" s="39" customFormat="1" ht="20.25" customHeight="1">
      <c r="A362" s="32"/>
      <c r="B362" s="107" t="s">
        <v>116</v>
      </c>
      <c r="C362" s="14" t="s">
        <v>2</v>
      </c>
      <c r="D362" s="29"/>
      <c r="E362" s="16" t="s">
        <v>27</v>
      </c>
      <c r="F362" s="15"/>
      <c r="G362" s="15"/>
      <c r="H362" s="15"/>
      <c r="I362" s="17"/>
      <c r="J362" s="15"/>
      <c r="K362" s="15"/>
      <c r="L362" s="15"/>
      <c r="M362" s="15"/>
      <c r="N362" s="15"/>
      <c r="O362" s="15"/>
      <c r="P362" s="15"/>
      <c r="Q362" s="15"/>
      <c r="R362" s="15"/>
      <c r="S362" s="15"/>
      <c r="T362" s="15"/>
      <c r="U362" s="15"/>
      <c r="V362" s="18"/>
      <c r="W362" s="18"/>
      <c r="X362" s="30"/>
      <c r="Y362" s="30"/>
      <c r="Z362" s="30"/>
      <c r="AA362" s="30"/>
      <c r="AB362" s="34"/>
      <c r="AC362" s="30"/>
      <c r="AD362" s="30"/>
      <c r="AE362" s="30"/>
      <c r="AF362" s="30"/>
      <c r="AG362" s="30"/>
      <c r="AH362" s="30"/>
      <c r="AI362" s="30"/>
      <c r="AJ362" s="30"/>
      <c r="AK362" s="30"/>
      <c r="AL362" s="30"/>
      <c r="AM362" s="30"/>
      <c r="AN362" s="30"/>
      <c r="AO362" s="30"/>
    </row>
    <row r="363" spans="1:41" s="39" customFormat="1" ht="18.75" customHeight="1">
      <c r="A363" s="32">
        <v>56</v>
      </c>
      <c r="B363" s="107"/>
      <c r="C363" s="20" t="str">
        <f>IF(A363="","VARA",VLOOKUP(A363,'[1]varas'!$A$4:$B$67,2))</f>
        <v>VT Ribeirão</v>
      </c>
      <c r="D363" s="15"/>
      <c r="E363" s="16"/>
      <c r="F363" s="15">
        <f>34+74</f>
        <v>108</v>
      </c>
      <c r="G363" s="15">
        <v>0</v>
      </c>
      <c r="H363" s="15">
        <v>0</v>
      </c>
      <c r="I363" s="17">
        <f>SUM(F363:H363)</f>
        <v>108</v>
      </c>
      <c r="J363" s="15">
        <v>11</v>
      </c>
      <c r="K363" s="15">
        <v>11</v>
      </c>
      <c r="L363" s="15">
        <v>0</v>
      </c>
      <c r="M363" s="15">
        <v>0</v>
      </c>
      <c r="N363" s="15">
        <v>0</v>
      </c>
      <c r="O363" s="15">
        <v>74</v>
      </c>
      <c r="P363" s="15">
        <f>SUM(J363:O363)</f>
        <v>96</v>
      </c>
      <c r="Q363" s="15">
        <v>0</v>
      </c>
      <c r="R363" s="15">
        <v>12</v>
      </c>
      <c r="S363" s="15">
        <v>0</v>
      </c>
      <c r="T363" s="15">
        <v>0</v>
      </c>
      <c r="U363" s="15">
        <v>204</v>
      </c>
      <c r="V363" s="18"/>
      <c r="W363" s="18"/>
      <c r="X363" s="30"/>
      <c r="Y363" s="30"/>
      <c r="Z363" s="30"/>
      <c r="AA363" s="30"/>
      <c r="AB363" s="34"/>
      <c r="AC363" s="30"/>
      <c r="AD363" s="30"/>
      <c r="AE363" s="30"/>
      <c r="AF363" s="30"/>
      <c r="AG363" s="30"/>
      <c r="AH363" s="30"/>
      <c r="AI363" s="30"/>
      <c r="AJ363" s="30"/>
      <c r="AK363" s="30"/>
      <c r="AL363" s="30"/>
      <c r="AM363" s="30"/>
      <c r="AN363" s="30"/>
      <c r="AO363" s="30"/>
    </row>
    <row r="364" spans="1:41" s="39" customFormat="1" ht="20.25" customHeight="1">
      <c r="A364" s="32">
        <v>54</v>
      </c>
      <c r="B364" s="107"/>
      <c r="C364" s="20" t="str">
        <f>IF(A364="","VARA",VLOOKUP(A364,'[1]varas'!$A$4:$B$67,2))</f>
        <v>VT Palmares</v>
      </c>
      <c r="D364" s="15"/>
      <c r="E364" s="16"/>
      <c r="F364" s="15">
        <v>0</v>
      </c>
      <c r="G364" s="15">
        <v>10</v>
      </c>
      <c r="H364" s="15">
        <v>0</v>
      </c>
      <c r="I364" s="17">
        <f>SUM(F364:H364)</f>
        <v>10</v>
      </c>
      <c r="J364" s="15">
        <v>0</v>
      </c>
      <c r="K364" s="15">
        <v>0</v>
      </c>
      <c r="L364" s="15">
        <v>0</v>
      </c>
      <c r="M364" s="15">
        <v>0</v>
      </c>
      <c r="N364" s="15">
        <v>0</v>
      </c>
      <c r="O364" s="15">
        <v>0</v>
      </c>
      <c r="P364" s="15">
        <f>SUM(J364:O364)</f>
        <v>0</v>
      </c>
      <c r="Q364" s="15">
        <v>10</v>
      </c>
      <c r="R364" s="15">
        <v>0</v>
      </c>
      <c r="S364" s="15">
        <v>0</v>
      </c>
      <c r="T364" s="15">
        <v>0</v>
      </c>
      <c r="U364" s="15">
        <v>0</v>
      </c>
      <c r="V364" s="18"/>
      <c r="W364" s="18"/>
      <c r="X364" s="30"/>
      <c r="Y364" s="30"/>
      <c r="Z364" s="30"/>
      <c r="AA364" s="30"/>
      <c r="AB364" s="34"/>
      <c r="AC364" s="30"/>
      <c r="AD364" s="30"/>
      <c r="AE364" s="30"/>
      <c r="AF364" s="30"/>
      <c r="AG364" s="30"/>
      <c r="AH364" s="30"/>
      <c r="AI364" s="30"/>
      <c r="AJ364" s="30"/>
      <c r="AK364" s="30"/>
      <c r="AL364" s="30"/>
      <c r="AM364" s="30"/>
      <c r="AN364" s="30"/>
      <c r="AO364" s="30"/>
    </row>
    <row r="365" spans="1:41" s="53" customFormat="1" ht="20.25" customHeight="1">
      <c r="A365" s="47"/>
      <c r="B365" s="107"/>
      <c r="C365" s="21" t="s">
        <v>12</v>
      </c>
      <c r="D365" s="51"/>
      <c r="E365" s="52"/>
      <c r="F365" s="24">
        <f>SUM(F362:F364)</f>
        <v>108</v>
      </c>
      <c r="G365" s="24">
        <f>SUM(G362:G364)</f>
        <v>10</v>
      </c>
      <c r="H365" s="24">
        <f>SUM(H362:H364)</f>
        <v>0</v>
      </c>
      <c r="I365" s="25">
        <f>SUM(F365:H365)</f>
        <v>118</v>
      </c>
      <c r="J365" s="24">
        <f aca="true" t="shared" si="109" ref="J365:O365">SUM(J362:J364)</f>
        <v>11</v>
      </c>
      <c r="K365" s="24">
        <f t="shared" si="109"/>
        <v>11</v>
      </c>
      <c r="L365" s="24">
        <f t="shared" si="109"/>
        <v>0</v>
      </c>
      <c r="M365" s="24">
        <f t="shared" si="109"/>
        <v>0</v>
      </c>
      <c r="N365" s="24">
        <f t="shared" si="109"/>
        <v>0</v>
      </c>
      <c r="O365" s="24">
        <f t="shared" si="109"/>
        <v>74</v>
      </c>
      <c r="P365" s="24">
        <f>SUM(J365:O365)</f>
        <v>96</v>
      </c>
      <c r="Q365" s="24">
        <f>SUM(Q362:Q364)</f>
        <v>10</v>
      </c>
      <c r="R365" s="24">
        <f>SUM(R362:R364)</f>
        <v>12</v>
      </c>
      <c r="S365" s="24">
        <f>SUM(S362:S364)</f>
        <v>0</v>
      </c>
      <c r="T365" s="24">
        <f>SUM(T362:T364)</f>
        <v>0</v>
      </c>
      <c r="U365" s="24">
        <f>SUM(U362:U364)</f>
        <v>204</v>
      </c>
      <c r="V365" s="26">
        <f>IF(I365-Q365=0,"",IF(D365="",(P365+S365)/(I365-Q365),IF(AND(D365&lt;&gt;"",(P365+S365)/(I365-Q365)&gt;=50%),(P365+S365)/(I365-Q365),"")))</f>
        <v>0.8888888888888888</v>
      </c>
      <c r="W365" s="26">
        <f>IF(I365=O365,"",IF(V365="",0,(P365+Q365+S365-O365)/(I365-O365)))</f>
        <v>0.7272727272727273</v>
      </c>
      <c r="X365" s="49"/>
      <c r="Y365" s="49"/>
      <c r="Z365" s="49"/>
      <c r="AA365" s="49"/>
      <c r="AB365" s="50"/>
      <c r="AC365" s="49"/>
      <c r="AD365" s="49"/>
      <c r="AE365" s="49"/>
      <c r="AF365" s="49"/>
      <c r="AG365" s="49"/>
      <c r="AH365" s="49"/>
      <c r="AI365" s="49"/>
      <c r="AJ365" s="49"/>
      <c r="AK365" s="49"/>
      <c r="AL365" s="49"/>
      <c r="AM365" s="49"/>
      <c r="AN365" s="49"/>
      <c r="AO365" s="49"/>
    </row>
    <row r="366" spans="1:41" s="39" customFormat="1" ht="21" customHeight="1">
      <c r="A366" s="32"/>
      <c r="B366" s="107" t="s">
        <v>117</v>
      </c>
      <c r="C366" s="14" t="s">
        <v>2</v>
      </c>
      <c r="D366" s="29" t="s">
        <v>30</v>
      </c>
      <c r="E366" s="16" t="s">
        <v>230</v>
      </c>
      <c r="F366" s="15"/>
      <c r="G366" s="15"/>
      <c r="H366" s="15"/>
      <c r="I366" s="17"/>
      <c r="J366" s="15"/>
      <c r="K366" s="15"/>
      <c r="L366" s="15"/>
      <c r="M366" s="15"/>
      <c r="N366" s="15"/>
      <c r="O366" s="15"/>
      <c r="P366" s="15"/>
      <c r="Q366" s="15"/>
      <c r="R366" s="15"/>
      <c r="S366" s="15"/>
      <c r="T366" s="15"/>
      <c r="U366" s="15"/>
      <c r="V366" s="18"/>
      <c r="W366" s="18"/>
      <c r="X366" s="30"/>
      <c r="Y366" s="30"/>
      <c r="Z366" s="30"/>
      <c r="AA366" s="30"/>
      <c r="AB366" s="34"/>
      <c r="AC366" s="30"/>
      <c r="AD366" s="30"/>
      <c r="AE366" s="30"/>
      <c r="AF366" s="30"/>
      <c r="AG366" s="30"/>
      <c r="AH366" s="30"/>
      <c r="AI366" s="30"/>
      <c r="AJ366" s="30"/>
      <c r="AK366" s="30"/>
      <c r="AL366" s="30"/>
      <c r="AM366" s="30"/>
      <c r="AN366" s="30"/>
      <c r="AO366" s="30"/>
    </row>
    <row r="367" spans="1:41" s="39" customFormat="1" ht="16.5" customHeight="1">
      <c r="A367" s="32">
        <v>33</v>
      </c>
      <c r="B367" s="107"/>
      <c r="C367" s="20" t="str">
        <f>IF(A367="","VARA",VLOOKUP(A367,'[1]varas'!$A$4:$B$67,2))</f>
        <v>2ª VT Ipojuca</v>
      </c>
      <c r="D367" s="15"/>
      <c r="E367" s="16"/>
      <c r="F367" s="15">
        <f>54+14+10</f>
        <v>78</v>
      </c>
      <c r="G367" s="15">
        <v>5</v>
      </c>
      <c r="H367" s="15">
        <v>0</v>
      </c>
      <c r="I367" s="17">
        <f>SUM(F367:H367)</f>
        <v>83</v>
      </c>
      <c r="J367" s="15">
        <v>27</v>
      </c>
      <c r="K367" s="15">
        <v>18</v>
      </c>
      <c r="L367" s="15">
        <v>10</v>
      </c>
      <c r="M367" s="15">
        <v>0</v>
      </c>
      <c r="N367" s="15">
        <v>0</v>
      </c>
      <c r="O367" s="15">
        <v>14</v>
      </c>
      <c r="P367" s="15">
        <f>SUM(J367:O367)</f>
        <v>69</v>
      </c>
      <c r="Q367" s="15">
        <v>8</v>
      </c>
      <c r="R367" s="15">
        <v>5</v>
      </c>
      <c r="S367" s="15">
        <v>0</v>
      </c>
      <c r="T367" s="15">
        <v>1</v>
      </c>
      <c r="U367" s="15">
        <v>198</v>
      </c>
      <c r="V367" s="18"/>
      <c r="W367" s="18"/>
      <c r="X367" s="30"/>
      <c r="Y367" s="30"/>
      <c r="Z367" s="30"/>
      <c r="AA367" s="30"/>
      <c r="AB367" s="34"/>
      <c r="AC367" s="30"/>
      <c r="AD367" s="30"/>
      <c r="AE367" s="30"/>
      <c r="AF367" s="30"/>
      <c r="AG367" s="30"/>
      <c r="AH367" s="30"/>
      <c r="AI367" s="30"/>
      <c r="AJ367" s="30"/>
      <c r="AK367" s="30"/>
      <c r="AL367" s="30"/>
      <c r="AM367" s="30"/>
      <c r="AN367" s="30"/>
      <c r="AO367" s="30"/>
    </row>
    <row r="368" spans="1:41" s="53" customFormat="1" ht="18" customHeight="1">
      <c r="A368" s="47"/>
      <c r="B368" s="107"/>
      <c r="C368" s="21" t="s">
        <v>12</v>
      </c>
      <c r="D368" s="51"/>
      <c r="E368" s="52"/>
      <c r="F368" s="24">
        <f>SUM(F366:F367)</f>
        <v>78</v>
      </c>
      <c r="G368" s="24">
        <f>SUM(G366:G367)</f>
        <v>5</v>
      </c>
      <c r="H368" s="24">
        <f>SUM(H366:H367)</f>
        <v>0</v>
      </c>
      <c r="I368" s="25">
        <f>SUM(F368:H368)</f>
        <v>83</v>
      </c>
      <c r="J368" s="24">
        <f aca="true" t="shared" si="110" ref="J368:O368">SUM(J366:J367)</f>
        <v>27</v>
      </c>
      <c r="K368" s="24">
        <f t="shared" si="110"/>
        <v>18</v>
      </c>
      <c r="L368" s="24">
        <f t="shared" si="110"/>
        <v>10</v>
      </c>
      <c r="M368" s="24">
        <f t="shared" si="110"/>
        <v>0</v>
      </c>
      <c r="N368" s="24">
        <f t="shared" si="110"/>
        <v>0</v>
      </c>
      <c r="O368" s="24">
        <f t="shared" si="110"/>
        <v>14</v>
      </c>
      <c r="P368" s="24">
        <f>SUM(J368:O368)</f>
        <v>69</v>
      </c>
      <c r="Q368" s="24">
        <f>SUM(Q366:Q367)</f>
        <v>8</v>
      </c>
      <c r="R368" s="24">
        <f>SUM(R366:R367)</f>
        <v>5</v>
      </c>
      <c r="S368" s="24">
        <f>SUM(S366:S367)</f>
        <v>0</v>
      </c>
      <c r="T368" s="24">
        <f>SUM(T366:T367)</f>
        <v>1</v>
      </c>
      <c r="U368" s="24">
        <f>SUM(U366:U367)</f>
        <v>198</v>
      </c>
      <c r="V368" s="26">
        <f>IF(I368-Q368=0,"",IF(D368="",(P368+S368)/(I368-Q368),IF(AND(D368&lt;&gt;"",(P368+S368)/(I368-Q368)&gt;=50%),(P368+S368)/(I368-Q368),"")))</f>
        <v>0.92</v>
      </c>
      <c r="W368" s="26">
        <f>IF(I368=O368,"",IF(V368="",0,(P368+Q368+S368-O368)/(I368-O368)))</f>
        <v>0.9130434782608695</v>
      </c>
      <c r="X368" s="49"/>
      <c r="Y368" s="49"/>
      <c r="Z368" s="49"/>
      <c r="AA368" s="49"/>
      <c r="AB368" s="50"/>
      <c r="AC368" s="49"/>
      <c r="AD368" s="49"/>
      <c r="AE368" s="49"/>
      <c r="AF368" s="49"/>
      <c r="AG368" s="49"/>
      <c r="AH368" s="49"/>
      <c r="AI368" s="49"/>
      <c r="AJ368" s="49"/>
      <c r="AK368" s="49"/>
      <c r="AL368" s="49"/>
      <c r="AM368" s="49"/>
      <c r="AN368" s="49"/>
      <c r="AO368" s="49"/>
    </row>
    <row r="369" spans="1:41" s="39" customFormat="1" ht="18" customHeight="1">
      <c r="A369" s="32"/>
      <c r="B369" s="107" t="s">
        <v>118</v>
      </c>
      <c r="C369" s="14" t="s">
        <v>186</v>
      </c>
      <c r="D369" s="15" t="s">
        <v>30</v>
      </c>
      <c r="E369" s="16" t="s">
        <v>201</v>
      </c>
      <c r="F369" s="15"/>
      <c r="G369" s="15"/>
      <c r="H369" s="15"/>
      <c r="I369" s="17"/>
      <c r="J369" s="15"/>
      <c r="K369" s="15"/>
      <c r="L369" s="15"/>
      <c r="M369" s="15"/>
      <c r="N369" s="15"/>
      <c r="O369" s="15"/>
      <c r="P369" s="15"/>
      <c r="Q369" s="15"/>
      <c r="R369" s="15"/>
      <c r="S369" s="15"/>
      <c r="T369" s="15"/>
      <c r="U369" s="15"/>
      <c r="V369" s="18"/>
      <c r="W369" s="18"/>
      <c r="X369" s="30"/>
      <c r="Y369" s="30"/>
      <c r="Z369" s="30"/>
      <c r="AA369" s="30"/>
      <c r="AB369" s="34"/>
      <c r="AC369" s="30"/>
      <c r="AD369" s="30"/>
      <c r="AE369" s="30"/>
      <c r="AF369" s="30"/>
      <c r="AG369" s="30"/>
      <c r="AH369" s="30"/>
      <c r="AI369" s="30"/>
      <c r="AJ369" s="30"/>
      <c r="AK369" s="30"/>
      <c r="AL369" s="30"/>
      <c r="AM369" s="30"/>
      <c r="AN369" s="30"/>
      <c r="AO369" s="30"/>
    </row>
    <row r="370" spans="1:41" s="39" customFormat="1" ht="18" customHeight="1">
      <c r="A370" s="32">
        <v>14</v>
      </c>
      <c r="B370" s="107"/>
      <c r="C370" s="20" t="str">
        <f>IF(A370="","VARA",VLOOKUP(A370,'[1]varas'!$A$4:$B$67,2))</f>
        <v>14ª VT Recife</v>
      </c>
      <c r="D370" s="15"/>
      <c r="E370" s="16"/>
      <c r="F370" s="15">
        <v>0</v>
      </c>
      <c r="G370" s="15">
        <v>15</v>
      </c>
      <c r="H370" s="15">
        <v>0</v>
      </c>
      <c r="I370" s="17">
        <f>SUM(F370:H370)</f>
        <v>15</v>
      </c>
      <c r="J370" s="15">
        <v>3</v>
      </c>
      <c r="K370" s="15">
        <v>0</v>
      </c>
      <c r="L370" s="15">
        <v>0</v>
      </c>
      <c r="M370" s="15">
        <v>0</v>
      </c>
      <c r="N370" s="15">
        <v>0</v>
      </c>
      <c r="O370" s="15">
        <v>0</v>
      </c>
      <c r="P370" s="15">
        <f>SUM(J370:O370)</f>
        <v>3</v>
      </c>
      <c r="Q370" s="15">
        <v>12</v>
      </c>
      <c r="R370" s="15">
        <v>0</v>
      </c>
      <c r="S370" s="15">
        <v>0</v>
      </c>
      <c r="T370" s="15">
        <v>0</v>
      </c>
      <c r="U370" s="15">
        <v>0</v>
      </c>
      <c r="V370" s="18"/>
      <c r="W370" s="18"/>
      <c r="X370" s="30"/>
      <c r="Y370" s="30"/>
      <c r="Z370" s="30"/>
      <c r="AA370" s="30"/>
      <c r="AB370" s="34"/>
      <c r="AC370" s="30"/>
      <c r="AD370" s="30"/>
      <c r="AE370" s="30"/>
      <c r="AF370" s="30"/>
      <c r="AG370" s="30"/>
      <c r="AH370" s="30"/>
      <c r="AI370" s="30"/>
      <c r="AJ370" s="30"/>
      <c r="AK370" s="30"/>
      <c r="AL370" s="30"/>
      <c r="AM370" s="30"/>
      <c r="AN370" s="30"/>
      <c r="AO370" s="30"/>
    </row>
    <row r="371" spans="1:41" s="53" customFormat="1" ht="18" customHeight="1">
      <c r="A371" s="47"/>
      <c r="B371" s="107"/>
      <c r="C371" s="21" t="s">
        <v>12</v>
      </c>
      <c r="D371" s="51"/>
      <c r="E371" s="52"/>
      <c r="F371" s="24">
        <f>SUM(F369:F370)</f>
        <v>0</v>
      </c>
      <c r="G371" s="24">
        <f>SUM(G369:G370)</f>
        <v>15</v>
      </c>
      <c r="H371" s="24">
        <f>SUM(H369:H370)</f>
        <v>0</v>
      </c>
      <c r="I371" s="25">
        <f>SUM(F371:H371)</f>
        <v>15</v>
      </c>
      <c r="J371" s="24">
        <f aca="true" t="shared" si="111" ref="J371:O371">SUM(J369:J370)</f>
        <v>3</v>
      </c>
      <c r="K371" s="24">
        <f t="shared" si="111"/>
        <v>0</v>
      </c>
      <c r="L371" s="24">
        <f t="shared" si="111"/>
        <v>0</v>
      </c>
      <c r="M371" s="24">
        <f t="shared" si="111"/>
        <v>0</v>
      </c>
      <c r="N371" s="24">
        <f t="shared" si="111"/>
        <v>0</v>
      </c>
      <c r="O371" s="24">
        <f t="shared" si="111"/>
        <v>0</v>
      </c>
      <c r="P371" s="24">
        <f>SUM(J371:O371)</f>
        <v>3</v>
      </c>
      <c r="Q371" s="24">
        <f>SUM(Q369:Q370)</f>
        <v>12</v>
      </c>
      <c r="R371" s="24">
        <f>SUM(R369:R370)</f>
        <v>0</v>
      </c>
      <c r="S371" s="24">
        <f>SUM(S369:S370)</f>
        <v>0</v>
      </c>
      <c r="T371" s="24">
        <f>SUM(T369:T370)</f>
        <v>0</v>
      </c>
      <c r="U371" s="24">
        <f>SUM(U369:U370)</f>
        <v>0</v>
      </c>
      <c r="V371" s="26">
        <f>IF(I371-Q371=0,"",IF(D371="",(P371+S371)/(I371-Q371),IF(AND(D371&lt;&gt;"",(P371+S371)/(I371-Q371)&gt;=50%),(P371+S371)/(I371-Q371),"")))</f>
        <v>1</v>
      </c>
      <c r="W371" s="26">
        <f>IF(I371=O371,"",IF(V371="",0,(P371+Q371+S371-O371)/(I371-O371)))</f>
        <v>1</v>
      </c>
      <c r="X371" s="49"/>
      <c r="Y371" s="49"/>
      <c r="Z371" s="49"/>
      <c r="AA371" s="49"/>
      <c r="AB371" s="50"/>
      <c r="AC371" s="49"/>
      <c r="AD371" s="49"/>
      <c r="AE371" s="49"/>
      <c r="AF371" s="49"/>
      <c r="AG371" s="49"/>
      <c r="AH371" s="49"/>
      <c r="AI371" s="49"/>
      <c r="AJ371" s="49"/>
      <c r="AK371" s="49"/>
      <c r="AL371" s="49"/>
      <c r="AM371" s="49"/>
      <c r="AN371" s="49"/>
      <c r="AO371" s="49"/>
    </row>
    <row r="372" spans="1:41" s="39" customFormat="1" ht="21.75" customHeight="1">
      <c r="A372" s="32"/>
      <c r="B372" s="107" t="s">
        <v>119</v>
      </c>
      <c r="C372" s="14" t="s">
        <v>161</v>
      </c>
      <c r="D372" s="29"/>
      <c r="E372" s="16" t="s">
        <v>27</v>
      </c>
      <c r="F372" s="15"/>
      <c r="G372" s="15"/>
      <c r="H372" s="15"/>
      <c r="I372" s="17"/>
      <c r="J372" s="15"/>
      <c r="K372" s="15"/>
      <c r="L372" s="15"/>
      <c r="M372" s="15"/>
      <c r="N372" s="15"/>
      <c r="O372" s="15"/>
      <c r="P372" s="15"/>
      <c r="Q372" s="15"/>
      <c r="R372" s="15"/>
      <c r="S372" s="15"/>
      <c r="T372" s="15"/>
      <c r="U372" s="15"/>
      <c r="V372" s="18"/>
      <c r="W372" s="18"/>
      <c r="X372" s="30"/>
      <c r="Y372" s="30"/>
      <c r="Z372" s="30"/>
      <c r="AA372" s="30"/>
      <c r="AB372" s="34"/>
      <c r="AC372" s="30"/>
      <c r="AD372" s="30"/>
      <c r="AE372" s="30"/>
      <c r="AF372" s="30"/>
      <c r="AG372" s="30"/>
      <c r="AH372" s="30"/>
      <c r="AI372" s="30"/>
      <c r="AJ372" s="30"/>
      <c r="AK372" s="30"/>
      <c r="AL372" s="30"/>
      <c r="AM372" s="30"/>
      <c r="AN372" s="30"/>
      <c r="AO372" s="30"/>
    </row>
    <row r="373" spans="1:41" s="39" customFormat="1" ht="17.25" customHeight="1">
      <c r="A373" s="32">
        <v>8</v>
      </c>
      <c r="B373" s="107"/>
      <c r="C373" s="20" t="str">
        <f>IF(A373="","VARA",VLOOKUP(A373,'[1]varas'!$A$4:$B$67,2))</f>
        <v>8ª VT Recife</v>
      </c>
      <c r="D373" s="15"/>
      <c r="E373" s="16"/>
      <c r="F373" s="15">
        <v>0</v>
      </c>
      <c r="G373" s="15">
        <v>0</v>
      </c>
      <c r="H373" s="15">
        <v>1</v>
      </c>
      <c r="I373" s="17">
        <f aca="true" t="shared" si="112" ref="I373:I380">SUM(F373:H373)</f>
        <v>1</v>
      </c>
      <c r="J373" s="15">
        <v>1</v>
      </c>
      <c r="K373" s="15">
        <v>0</v>
      </c>
      <c r="L373" s="15">
        <v>0</v>
      </c>
      <c r="M373" s="15">
        <v>0</v>
      </c>
      <c r="N373" s="15">
        <v>0</v>
      </c>
      <c r="O373" s="15">
        <v>0</v>
      </c>
      <c r="P373" s="15">
        <f aca="true" t="shared" si="113" ref="P373:P380">SUM(J373:O373)</f>
        <v>1</v>
      </c>
      <c r="Q373" s="15">
        <v>0</v>
      </c>
      <c r="R373" s="15">
        <v>0</v>
      </c>
      <c r="S373" s="15">
        <v>0</v>
      </c>
      <c r="T373" s="15">
        <v>0</v>
      </c>
      <c r="U373" s="15">
        <v>0</v>
      </c>
      <c r="V373" s="18"/>
      <c r="W373" s="18"/>
      <c r="X373" s="30"/>
      <c r="Y373" s="30"/>
      <c r="Z373" s="30"/>
      <c r="AA373" s="30"/>
      <c r="AB373" s="34"/>
      <c r="AC373" s="30"/>
      <c r="AD373" s="30"/>
      <c r="AE373" s="30"/>
      <c r="AF373" s="30"/>
      <c r="AG373" s="30"/>
      <c r="AH373" s="30"/>
      <c r="AI373" s="30"/>
      <c r="AJ373" s="30"/>
      <c r="AK373" s="30"/>
      <c r="AL373" s="30"/>
      <c r="AM373" s="30"/>
      <c r="AN373" s="30"/>
      <c r="AO373" s="30"/>
    </row>
    <row r="374" spans="1:41" s="39" customFormat="1" ht="21" customHeight="1">
      <c r="A374" s="32">
        <v>10</v>
      </c>
      <c r="B374" s="107"/>
      <c r="C374" s="20" t="str">
        <f>IF(A374="","VARA",VLOOKUP(A374,'[1]varas'!$A$4:$B$67,2))</f>
        <v>10ª VT Recife</v>
      </c>
      <c r="D374" s="15"/>
      <c r="E374" s="16"/>
      <c r="F374" s="15">
        <v>0</v>
      </c>
      <c r="G374" s="15">
        <v>0</v>
      </c>
      <c r="H374" s="15">
        <v>13</v>
      </c>
      <c r="I374" s="17">
        <f t="shared" si="112"/>
        <v>13</v>
      </c>
      <c r="J374" s="15">
        <v>0</v>
      </c>
      <c r="K374" s="15">
        <v>0</v>
      </c>
      <c r="L374" s="15">
        <v>0</v>
      </c>
      <c r="M374" s="15">
        <v>0</v>
      </c>
      <c r="N374" s="15">
        <v>0</v>
      </c>
      <c r="O374" s="15">
        <v>0</v>
      </c>
      <c r="P374" s="15">
        <f t="shared" si="113"/>
        <v>0</v>
      </c>
      <c r="Q374" s="15">
        <v>0</v>
      </c>
      <c r="R374" s="15">
        <v>13</v>
      </c>
      <c r="S374" s="15">
        <v>0</v>
      </c>
      <c r="T374" s="15">
        <v>0</v>
      </c>
      <c r="U374" s="15">
        <v>0</v>
      </c>
      <c r="V374" s="18"/>
      <c r="W374" s="18"/>
      <c r="X374" s="30"/>
      <c r="Y374" s="30"/>
      <c r="Z374" s="30"/>
      <c r="AA374" s="30"/>
      <c r="AB374" s="34"/>
      <c r="AC374" s="30"/>
      <c r="AD374" s="30"/>
      <c r="AE374" s="30"/>
      <c r="AF374" s="30"/>
      <c r="AG374" s="30"/>
      <c r="AH374" s="30"/>
      <c r="AI374" s="30"/>
      <c r="AJ374" s="30"/>
      <c r="AK374" s="30"/>
      <c r="AL374" s="30"/>
      <c r="AM374" s="30"/>
      <c r="AN374" s="30"/>
      <c r="AO374" s="30"/>
    </row>
    <row r="375" spans="1:41" s="39" customFormat="1" ht="18.75" customHeight="1">
      <c r="A375" s="32">
        <v>16</v>
      </c>
      <c r="B375" s="107"/>
      <c r="C375" s="20" t="str">
        <f>IF(A375="","VARA",VLOOKUP(A375,'[1]varas'!$A$4:$B$67,2))</f>
        <v>16ª VT Recife</v>
      </c>
      <c r="D375" s="15"/>
      <c r="E375" s="16"/>
      <c r="F375" s="15">
        <v>0</v>
      </c>
      <c r="G375" s="15">
        <v>0</v>
      </c>
      <c r="H375" s="15">
        <v>1</v>
      </c>
      <c r="I375" s="17">
        <f t="shared" si="112"/>
        <v>1</v>
      </c>
      <c r="J375" s="15">
        <v>1</v>
      </c>
      <c r="K375" s="15">
        <v>0</v>
      </c>
      <c r="L375" s="15">
        <v>0</v>
      </c>
      <c r="M375" s="15">
        <v>0</v>
      </c>
      <c r="N375" s="15">
        <v>0</v>
      </c>
      <c r="O375" s="15">
        <v>0</v>
      </c>
      <c r="P375" s="15">
        <f t="shared" si="113"/>
        <v>1</v>
      </c>
      <c r="Q375" s="15">
        <v>0</v>
      </c>
      <c r="R375" s="15">
        <v>0</v>
      </c>
      <c r="S375" s="15">
        <v>0</v>
      </c>
      <c r="T375" s="15">
        <v>0</v>
      </c>
      <c r="U375" s="15">
        <v>0</v>
      </c>
      <c r="V375" s="18"/>
      <c r="W375" s="18"/>
      <c r="X375" s="30"/>
      <c r="Y375" s="30"/>
      <c r="Z375" s="30"/>
      <c r="AA375" s="30"/>
      <c r="AB375" s="34"/>
      <c r="AC375" s="30"/>
      <c r="AD375" s="30"/>
      <c r="AE375" s="30"/>
      <c r="AF375" s="30"/>
      <c r="AG375" s="30"/>
      <c r="AH375" s="30"/>
      <c r="AI375" s="30"/>
      <c r="AJ375" s="30"/>
      <c r="AK375" s="30"/>
      <c r="AL375" s="30"/>
      <c r="AM375" s="30"/>
      <c r="AN375" s="30"/>
      <c r="AO375" s="30"/>
    </row>
    <row r="376" spans="1:41" s="39" customFormat="1" ht="20.25" customHeight="1">
      <c r="A376" s="32">
        <v>21</v>
      </c>
      <c r="B376" s="107"/>
      <c r="C376" s="20" t="str">
        <f>IF(A376="","VARA",VLOOKUP(A376,'[1]varas'!$A$4:$B$67,2))</f>
        <v>21ª VT Recife</v>
      </c>
      <c r="D376" s="15"/>
      <c r="E376" s="16"/>
      <c r="F376" s="15">
        <v>0</v>
      </c>
      <c r="G376" s="15">
        <v>0</v>
      </c>
      <c r="H376" s="15">
        <v>10</v>
      </c>
      <c r="I376" s="17">
        <f t="shared" si="112"/>
        <v>10</v>
      </c>
      <c r="J376" s="15">
        <v>8</v>
      </c>
      <c r="K376" s="15">
        <v>2</v>
      </c>
      <c r="L376" s="15">
        <v>0</v>
      </c>
      <c r="M376" s="15">
        <v>0</v>
      </c>
      <c r="N376" s="15">
        <v>0</v>
      </c>
      <c r="O376" s="15">
        <v>0</v>
      </c>
      <c r="P376" s="15">
        <f t="shared" si="113"/>
        <v>10</v>
      </c>
      <c r="Q376" s="15">
        <v>0</v>
      </c>
      <c r="R376" s="15">
        <v>0</v>
      </c>
      <c r="S376" s="15">
        <v>0</v>
      </c>
      <c r="T376" s="15">
        <v>0</v>
      </c>
      <c r="U376" s="15">
        <v>0</v>
      </c>
      <c r="V376" s="18"/>
      <c r="W376" s="18"/>
      <c r="X376" s="30"/>
      <c r="Y376" s="30"/>
      <c r="Z376" s="30"/>
      <c r="AA376" s="30"/>
      <c r="AB376" s="34"/>
      <c r="AC376" s="30"/>
      <c r="AD376" s="30"/>
      <c r="AE376" s="30"/>
      <c r="AF376" s="30"/>
      <c r="AG376" s="30"/>
      <c r="AH376" s="30"/>
      <c r="AI376" s="30"/>
      <c r="AJ376" s="30"/>
      <c r="AK376" s="30"/>
      <c r="AL376" s="30"/>
      <c r="AM376" s="30"/>
      <c r="AN376" s="30"/>
      <c r="AO376" s="30"/>
    </row>
    <row r="377" spans="1:41" s="39" customFormat="1" ht="15" customHeight="1">
      <c r="A377" s="32">
        <v>26</v>
      </c>
      <c r="B377" s="107"/>
      <c r="C377" s="20" t="str">
        <f>IF(A377="","VARA",VLOOKUP(A377,'[1]varas'!$A$4:$B$67,2))</f>
        <v>1ª VT Cabo</v>
      </c>
      <c r="D377" s="15"/>
      <c r="E377" s="16"/>
      <c r="F377" s="15">
        <v>0</v>
      </c>
      <c r="G377" s="15">
        <v>0</v>
      </c>
      <c r="H377" s="15">
        <v>4</v>
      </c>
      <c r="I377" s="17">
        <f t="shared" si="112"/>
        <v>4</v>
      </c>
      <c r="J377" s="15">
        <v>0</v>
      </c>
      <c r="K377" s="15">
        <v>0</v>
      </c>
      <c r="L377" s="15">
        <v>0</v>
      </c>
      <c r="M377" s="15">
        <v>0</v>
      </c>
      <c r="N377" s="15">
        <v>0</v>
      </c>
      <c r="O377" s="15">
        <v>0</v>
      </c>
      <c r="P377" s="15">
        <f t="shared" si="113"/>
        <v>0</v>
      </c>
      <c r="Q377" s="15">
        <v>0</v>
      </c>
      <c r="R377" s="15">
        <v>4</v>
      </c>
      <c r="S377" s="15">
        <v>0</v>
      </c>
      <c r="T377" s="15">
        <v>0</v>
      </c>
      <c r="U377" s="15">
        <v>0</v>
      </c>
      <c r="V377" s="18"/>
      <c r="W377" s="18"/>
      <c r="X377" s="30"/>
      <c r="Y377" s="30"/>
      <c r="Z377" s="30"/>
      <c r="AA377" s="30"/>
      <c r="AB377" s="34"/>
      <c r="AC377" s="30"/>
      <c r="AD377" s="30"/>
      <c r="AE377" s="30"/>
      <c r="AF377" s="30"/>
      <c r="AG377" s="30"/>
      <c r="AH377" s="30"/>
      <c r="AI377" s="30"/>
      <c r="AJ377" s="30"/>
      <c r="AK377" s="30"/>
      <c r="AL377" s="30"/>
      <c r="AM377" s="30"/>
      <c r="AN377" s="30"/>
      <c r="AO377" s="30"/>
    </row>
    <row r="378" spans="1:41" s="39" customFormat="1" ht="15" customHeight="1">
      <c r="A378" s="32">
        <v>47</v>
      </c>
      <c r="B378" s="107"/>
      <c r="C378" s="20" t="str">
        <f>IF(A378="","VARA",VLOOKUP(A378,'[1]varas'!$A$4:$B$67,2))</f>
        <v>VT Carpina</v>
      </c>
      <c r="D378" s="15"/>
      <c r="E378" s="16"/>
      <c r="F378" s="15">
        <f>52+77+4</f>
        <v>133</v>
      </c>
      <c r="G378" s="15">
        <v>0</v>
      </c>
      <c r="H378" s="15">
        <v>0</v>
      </c>
      <c r="I378" s="17">
        <f t="shared" si="112"/>
        <v>133</v>
      </c>
      <c r="J378" s="15">
        <v>19</v>
      </c>
      <c r="K378" s="15">
        <v>33</v>
      </c>
      <c r="L378" s="15">
        <v>3</v>
      </c>
      <c r="M378" s="15">
        <v>1</v>
      </c>
      <c r="N378" s="15">
        <v>0</v>
      </c>
      <c r="O378" s="15">
        <v>77</v>
      </c>
      <c r="P378" s="15">
        <f t="shared" si="113"/>
        <v>133</v>
      </c>
      <c r="Q378" s="15">
        <v>0</v>
      </c>
      <c r="R378" s="15">
        <v>0</v>
      </c>
      <c r="S378" s="15">
        <v>0</v>
      </c>
      <c r="T378" s="15">
        <v>0</v>
      </c>
      <c r="U378" s="15">
        <v>129</v>
      </c>
      <c r="V378" s="18"/>
      <c r="W378" s="18"/>
      <c r="X378" s="30"/>
      <c r="Y378" s="30"/>
      <c r="Z378" s="30"/>
      <c r="AA378" s="30"/>
      <c r="AB378" s="34"/>
      <c r="AC378" s="30"/>
      <c r="AD378" s="30"/>
      <c r="AE378" s="30"/>
      <c r="AF378" s="30"/>
      <c r="AG378" s="30"/>
      <c r="AH378" s="30"/>
      <c r="AI378" s="30"/>
      <c r="AJ378" s="30"/>
      <c r="AK378" s="30"/>
      <c r="AL378" s="30"/>
      <c r="AM378" s="30"/>
      <c r="AN378" s="30"/>
      <c r="AO378" s="30"/>
    </row>
    <row r="379" spans="1:41" s="39" customFormat="1" ht="16.5" customHeight="1">
      <c r="A379" s="32">
        <v>40</v>
      </c>
      <c r="B379" s="107"/>
      <c r="C379" s="20" t="str">
        <f>IF(A379="","VARA",VLOOKUP(A379,'[1]varas'!$A$4:$B$67,2))</f>
        <v>3ª VT Olinda</v>
      </c>
      <c r="D379" s="15"/>
      <c r="E379" s="16"/>
      <c r="F379" s="15">
        <v>0</v>
      </c>
      <c r="G379" s="15">
        <v>1</v>
      </c>
      <c r="H379" s="15">
        <v>3</v>
      </c>
      <c r="I379" s="17">
        <f>SUM(F379:H379)</f>
        <v>4</v>
      </c>
      <c r="J379" s="15">
        <v>0</v>
      </c>
      <c r="K379" s="15">
        <v>0</v>
      </c>
      <c r="L379" s="15">
        <v>0</v>
      </c>
      <c r="M379" s="15">
        <v>0</v>
      </c>
      <c r="N379" s="15">
        <v>0</v>
      </c>
      <c r="O379" s="15">
        <v>0</v>
      </c>
      <c r="P379" s="15">
        <f>SUM(J379:O379)</f>
        <v>0</v>
      </c>
      <c r="Q379" s="15">
        <v>0</v>
      </c>
      <c r="R379" s="15">
        <v>4</v>
      </c>
      <c r="S379" s="15">
        <v>0</v>
      </c>
      <c r="T379" s="15">
        <v>0</v>
      </c>
      <c r="U379" s="15">
        <v>0</v>
      </c>
      <c r="V379" s="18"/>
      <c r="W379" s="18"/>
      <c r="X379" s="30"/>
      <c r="Y379" s="30"/>
      <c r="Z379" s="30"/>
      <c r="AA379" s="30"/>
      <c r="AB379" s="34"/>
      <c r="AC379" s="30"/>
      <c r="AD379" s="30"/>
      <c r="AE379" s="30"/>
      <c r="AF379" s="30"/>
      <c r="AG379" s="30"/>
      <c r="AH379" s="30"/>
      <c r="AI379" s="30"/>
      <c r="AJ379" s="30"/>
      <c r="AK379" s="30"/>
      <c r="AL379" s="30"/>
      <c r="AM379" s="30"/>
      <c r="AN379" s="30"/>
      <c r="AO379" s="30"/>
    </row>
    <row r="380" spans="1:41" s="53" customFormat="1" ht="17.25" customHeight="1">
      <c r="A380" s="47"/>
      <c r="B380" s="107"/>
      <c r="C380" s="20" t="s">
        <v>12</v>
      </c>
      <c r="D380" s="24"/>
      <c r="E380" s="48"/>
      <c r="F380" s="24">
        <f>SUM(F372:F379)</f>
        <v>133</v>
      </c>
      <c r="G380" s="24">
        <f>SUM(G372:G379)</f>
        <v>1</v>
      </c>
      <c r="H380" s="24">
        <f>SUM(H372:H379)</f>
        <v>32</v>
      </c>
      <c r="I380" s="40">
        <f t="shared" si="112"/>
        <v>166</v>
      </c>
      <c r="J380" s="24">
        <f aca="true" t="shared" si="114" ref="J380:O380">SUM(J372:J379)</f>
        <v>29</v>
      </c>
      <c r="K380" s="24">
        <f t="shared" si="114"/>
        <v>35</v>
      </c>
      <c r="L380" s="24">
        <f t="shared" si="114"/>
        <v>3</v>
      </c>
      <c r="M380" s="24">
        <f t="shared" si="114"/>
        <v>1</v>
      </c>
      <c r="N380" s="24">
        <f t="shared" si="114"/>
        <v>0</v>
      </c>
      <c r="O380" s="24">
        <f t="shared" si="114"/>
        <v>77</v>
      </c>
      <c r="P380" s="24">
        <f t="shared" si="113"/>
        <v>145</v>
      </c>
      <c r="Q380" s="24">
        <f>SUM(Q372:Q379)</f>
        <v>0</v>
      </c>
      <c r="R380" s="24">
        <f>SUM(R372:R379)</f>
        <v>21</v>
      </c>
      <c r="S380" s="24">
        <f>SUM(S372:S379)</f>
        <v>0</v>
      </c>
      <c r="T380" s="24">
        <f>SUM(T372:T379)</f>
        <v>0</v>
      </c>
      <c r="U380" s="24">
        <f>SUM(U372:U379)</f>
        <v>129</v>
      </c>
      <c r="V380" s="26">
        <f>IF(I380-Q380=0,"",IF(D380="",(P380+S380)/(I380-Q380),IF(AND(D380&lt;&gt;"",(P380+S380)/(I380-Q380)&gt;=50%),(P380+S380)/(I380-Q380),"")))</f>
        <v>0.8734939759036144</v>
      </c>
      <c r="W380" s="26">
        <f>IF(I380=O380,"",IF(V380="",0,(P380+Q380+S380-O380)/(I380-O380)))</f>
        <v>0.7640449438202247</v>
      </c>
      <c r="X380" s="49"/>
      <c r="Y380" s="49"/>
      <c r="Z380" s="49"/>
      <c r="AA380" s="49"/>
      <c r="AB380" s="50"/>
      <c r="AC380" s="49"/>
      <c r="AD380" s="49"/>
      <c r="AE380" s="49"/>
      <c r="AF380" s="49"/>
      <c r="AG380" s="49"/>
      <c r="AH380" s="49"/>
      <c r="AI380" s="49"/>
      <c r="AJ380" s="49"/>
      <c r="AK380" s="49"/>
      <c r="AL380" s="49"/>
      <c r="AM380" s="49"/>
      <c r="AN380" s="49"/>
      <c r="AO380" s="49"/>
    </row>
    <row r="381" spans="1:41" s="39" customFormat="1" ht="20.25" customHeight="1">
      <c r="A381" s="32"/>
      <c r="B381" s="107" t="s">
        <v>120</v>
      </c>
      <c r="C381" s="14" t="s">
        <v>2</v>
      </c>
      <c r="D381" s="29" t="s">
        <v>30</v>
      </c>
      <c r="E381" s="16" t="s">
        <v>201</v>
      </c>
      <c r="F381" s="15"/>
      <c r="G381" s="15"/>
      <c r="H381" s="15"/>
      <c r="I381" s="17"/>
      <c r="J381" s="15"/>
      <c r="K381" s="15"/>
      <c r="L381" s="15"/>
      <c r="M381" s="15"/>
      <c r="N381" s="15"/>
      <c r="O381" s="15"/>
      <c r="P381" s="15"/>
      <c r="Q381" s="15"/>
      <c r="R381" s="15"/>
      <c r="S381" s="15"/>
      <c r="T381" s="15"/>
      <c r="U381" s="15"/>
      <c r="V381" s="18"/>
      <c r="W381" s="18"/>
      <c r="X381" s="30"/>
      <c r="Y381" s="30"/>
      <c r="Z381" s="30"/>
      <c r="AA381" s="30"/>
      <c r="AB381" s="34"/>
      <c r="AC381" s="30"/>
      <c r="AD381" s="30"/>
      <c r="AE381" s="30"/>
      <c r="AF381" s="30"/>
      <c r="AG381" s="30"/>
      <c r="AH381" s="30"/>
      <c r="AI381" s="30"/>
      <c r="AJ381" s="30"/>
      <c r="AK381" s="30"/>
      <c r="AL381" s="30"/>
      <c r="AM381" s="30"/>
      <c r="AN381" s="30"/>
      <c r="AO381" s="30"/>
    </row>
    <row r="382" spans="1:41" s="39" customFormat="1" ht="17.25" customHeight="1">
      <c r="A382" s="32">
        <v>40</v>
      </c>
      <c r="B382" s="107"/>
      <c r="C382" s="20" t="str">
        <f>IF(A382="","VARA",VLOOKUP(A382,'[1]varas'!$A$4:$B$67,2))</f>
        <v>3ª VT Olinda</v>
      </c>
      <c r="D382" s="15"/>
      <c r="E382" s="16"/>
      <c r="F382" s="15">
        <v>6</v>
      </c>
      <c r="G382" s="15">
        <v>0</v>
      </c>
      <c r="H382" s="15">
        <v>0</v>
      </c>
      <c r="I382" s="17">
        <f>SUM(F382:H382)</f>
        <v>6</v>
      </c>
      <c r="J382" s="15">
        <v>3</v>
      </c>
      <c r="K382" s="15">
        <v>1</v>
      </c>
      <c r="L382" s="15">
        <v>2</v>
      </c>
      <c r="M382" s="15">
        <v>0</v>
      </c>
      <c r="N382" s="15">
        <v>0</v>
      </c>
      <c r="O382" s="15">
        <v>0</v>
      </c>
      <c r="P382" s="15">
        <f>SUM(J382:O382)</f>
        <v>6</v>
      </c>
      <c r="Q382" s="15">
        <v>0</v>
      </c>
      <c r="R382" s="15">
        <v>0</v>
      </c>
      <c r="S382" s="15">
        <v>0</v>
      </c>
      <c r="T382" s="15">
        <v>0</v>
      </c>
      <c r="U382" s="15">
        <v>0</v>
      </c>
      <c r="V382" s="18"/>
      <c r="W382" s="18"/>
      <c r="X382" s="30"/>
      <c r="Y382" s="30"/>
      <c r="Z382" s="30"/>
      <c r="AA382" s="30"/>
      <c r="AB382" s="34"/>
      <c r="AC382" s="30"/>
      <c r="AD382" s="30"/>
      <c r="AE382" s="30"/>
      <c r="AF382" s="30"/>
      <c r="AG382" s="30"/>
      <c r="AH382" s="30"/>
      <c r="AI382" s="30"/>
      <c r="AJ382" s="30"/>
      <c r="AK382" s="30"/>
      <c r="AL382" s="30"/>
      <c r="AM382" s="30"/>
      <c r="AN382" s="30"/>
      <c r="AO382" s="30"/>
    </row>
    <row r="383" spans="1:41" s="53" customFormat="1" ht="21" customHeight="1">
      <c r="A383" s="47"/>
      <c r="B383" s="107"/>
      <c r="C383" s="21" t="s">
        <v>12</v>
      </c>
      <c r="D383" s="51"/>
      <c r="E383" s="52"/>
      <c r="F383" s="24">
        <f>SUM(F381:F382)</f>
        <v>6</v>
      </c>
      <c r="G383" s="24">
        <f>SUM(G381:G382)</f>
        <v>0</v>
      </c>
      <c r="H383" s="24">
        <f>SUM(H381:H382)</f>
        <v>0</v>
      </c>
      <c r="I383" s="25">
        <f>SUM(F383:H383)</f>
        <v>6</v>
      </c>
      <c r="J383" s="24">
        <f aca="true" t="shared" si="115" ref="J383:O383">SUM(J381:J382)</f>
        <v>3</v>
      </c>
      <c r="K383" s="24">
        <f t="shared" si="115"/>
        <v>1</v>
      </c>
      <c r="L383" s="24">
        <f t="shared" si="115"/>
        <v>2</v>
      </c>
      <c r="M383" s="24">
        <f t="shared" si="115"/>
        <v>0</v>
      </c>
      <c r="N383" s="24">
        <f t="shared" si="115"/>
        <v>0</v>
      </c>
      <c r="O383" s="24">
        <f t="shared" si="115"/>
        <v>0</v>
      </c>
      <c r="P383" s="24">
        <f>SUM(J383:O383)</f>
        <v>6</v>
      </c>
      <c r="Q383" s="24">
        <f>SUM(Q381:Q382)</f>
        <v>0</v>
      </c>
      <c r="R383" s="24">
        <f>SUM(R381:R382)</f>
        <v>0</v>
      </c>
      <c r="S383" s="24">
        <f>SUM(S381:S382)</f>
        <v>0</v>
      </c>
      <c r="T383" s="24">
        <f>SUM(T381:T382)</f>
        <v>0</v>
      </c>
      <c r="U383" s="24">
        <f>SUM(U381:U382)</f>
        <v>0</v>
      </c>
      <c r="V383" s="26">
        <f>IF(I383-Q383=0,"",IF(D383="",(P383+S383)/(I383-Q383),IF(AND(D383&lt;&gt;"",(P383+S383)/(I383-Q383)&gt;=50%),(P383+S383)/(I383-Q383),"")))</f>
        <v>1</v>
      </c>
      <c r="W383" s="26">
        <f>IF(I383=O383,"",IF(V383="",0,(P383+Q383+S383-O383)/(I383-O383)))</f>
        <v>1</v>
      </c>
      <c r="X383" s="49"/>
      <c r="Y383" s="49"/>
      <c r="Z383" s="49"/>
      <c r="AA383" s="49"/>
      <c r="AB383" s="50"/>
      <c r="AC383" s="49"/>
      <c r="AD383" s="49"/>
      <c r="AE383" s="49"/>
      <c r="AF383" s="49"/>
      <c r="AG383" s="49"/>
      <c r="AH383" s="49"/>
      <c r="AI383" s="49"/>
      <c r="AJ383" s="49"/>
      <c r="AK383" s="49"/>
      <c r="AL383" s="49"/>
      <c r="AM383" s="49"/>
      <c r="AN383" s="49"/>
      <c r="AO383" s="49"/>
    </row>
    <row r="384" spans="1:41" s="39" customFormat="1" ht="19.5" customHeight="1">
      <c r="A384" s="32"/>
      <c r="B384" s="107" t="s">
        <v>121</v>
      </c>
      <c r="C384" s="14" t="s">
        <v>2</v>
      </c>
      <c r="D384" s="15" t="s">
        <v>30</v>
      </c>
      <c r="E384" s="16" t="s">
        <v>201</v>
      </c>
      <c r="F384" s="15"/>
      <c r="G384" s="15"/>
      <c r="H384" s="15"/>
      <c r="I384" s="17"/>
      <c r="J384" s="15"/>
      <c r="K384" s="15"/>
      <c r="L384" s="15"/>
      <c r="M384" s="15"/>
      <c r="N384" s="15"/>
      <c r="O384" s="15"/>
      <c r="P384" s="15"/>
      <c r="Q384" s="15"/>
      <c r="R384" s="15"/>
      <c r="S384" s="15"/>
      <c r="T384" s="15"/>
      <c r="U384" s="15"/>
      <c r="V384" s="18"/>
      <c r="W384" s="18"/>
      <c r="X384" s="30"/>
      <c r="Y384" s="30"/>
      <c r="Z384" s="30"/>
      <c r="AA384" s="30"/>
      <c r="AB384" s="34"/>
      <c r="AC384" s="30"/>
      <c r="AD384" s="30"/>
      <c r="AE384" s="30"/>
      <c r="AF384" s="30"/>
      <c r="AG384" s="30"/>
      <c r="AH384" s="30"/>
      <c r="AI384" s="30"/>
      <c r="AJ384" s="30"/>
      <c r="AK384" s="30"/>
      <c r="AL384" s="30"/>
      <c r="AM384" s="30"/>
      <c r="AN384" s="30"/>
      <c r="AO384" s="30"/>
    </row>
    <row r="385" spans="1:41" s="39" customFormat="1" ht="18.75" customHeight="1">
      <c r="A385" s="32">
        <v>53</v>
      </c>
      <c r="B385" s="107"/>
      <c r="C385" s="20" t="str">
        <f>IF(A385="","VARA",VLOOKUP(A385,'[1]varas'!$A$4:$B$67,2))</f>
        <v>VT Nazaré</v>
      </c>
      <c r="D385" s="15"/>
      <c r="E385" s="16"/>
      <c r="F385" s="15">
        <v>7</v>
      </c>
      <c r="G385" s="15">
        <v>13</v>
      </c>
      <c r="H385" s="15">
        <v>67</v>
      </c>
      <c r="I385" s="17">
        <f>SUM(F385:H385)</f>
        <v>87</v>
      </c>
      <c r="J385" s="15">
        <v>32</v>
      </c>
      <c r="K385" s="15">
        <v>0</v>
      </c>
      <c r="L385" s="15">
        <v>5</v>
      </c>
      <c r="M385" s="15">
        <v>18</v>
      </c>
      <c r="N385" s="15">
        <v>2</v>
      </c>
      <c r="O385" s="15">
        <v>0</v>
      </c>
      <c r="P385" s="15">
        <f>SUM(J385:O385)</f>
        <v>57</v>
      </c>
      <c r="Q385" s="15">
        <v>2</v>
      </c>
      <c r="R385" s="15">
        <v>24</v>
      </c>
      <c r="S385" s="15">
        <v>0</v>
      </c>
      <c r="T385" s="15">
        <v>4</v>
      </c>
      <c r="U385" s="15">
        <v>0</v>
      </c>
      <c r="V385" s="18"/>
      <c r="W385" s="18"/>
      <c r="X385" s="30"/>
      <c r="Y385" s="30"/>
      <c r="Z385" s="30"/>
      <c r="AA385" s="30"/>
      <c r="AB385" s="34"/>
      <c r="AC385" s="30"/>
      <c r="AD385" s="30"/>
      <c r="AE385" s="30"/>
      <c r="AF385" s="30"/>
      <c r="AG385" s="30"/>
      <c r="AH385" s="30"/>
      <c r="AI385" s="30"/>
      <c r="AJ385" s="30"/>
      <c r="AK385" s="30"/>
      <c r="AL385" s="30"/>
      <c r="AM385" s="30"/>
      <c r="AN385" s="30"/>
      <c r="AO385" s="30"/>
    </row>
    <row r="386" spans="1:41" s="53" customFormat="1" ht="20.25" customHeight="1">
      <c r="A386" s="47"/>
      <c r="B386" s="107"/>
      <c r="C386" s="21" t="s">
        <v>12</v>
      </c>
      <c r="D386" s="51"/>
      <c r="E386" s="52"/>
      <c r="F386" s="24">
        <f>SUM(F384:F385)</f>
        <v>7</v>
      </c>
      <c r="G386" s="24">
        <f>SUM(G384:G385)</f>
        <v>13</v>
      </c>
      <c r="H386" s="24">
        <f>SUM(H384:H385)</f>
        <v>67</v>
      </c>
      <c r="I386" s="25">
        <f>SUM(F386:H386)</f>
        <v>87</v>
      </c>
      <c r="J386" s="24">
        <f aca="true" t="shared" si="116" ref="J386:O386">SUM(J384:J385)</f>
        <v>32</v>
      </c>
      <c r="K386" s="24">
        <f t="shared" si="116"/>
        <v>0</v>
      </c>
      <c r="L386" s="24">
        <f t="shared" si="116"/>
        <v>5</v>
      </c>
      <c r="M386" s="24">
        <f t="shared" si="116"/>
        <v>18</v>
      </c>
      <c r="N386" s="24">
        <f t="shared" si="116"/>
        <v>2</v>
      </c>
      <c r="O386" s="24">
        <f t="shared" si="116"/>
        <v>0</v>
      </c>
      <c r="P386" s="24">
        <f>SUM(J386:O386)</f>
        <v>57</v>
      </c>
      <c r="Q386" s="24">
        <f>SUM(Q384:Q385)</f>
        <v>2</v>
      </c>
      <c r="R386" s="24">
        <f>SUM(R384:R385)</f>
        <v>24</v>
      </c>
      <c r="S386" s="24">
        <f>SUM(S384:S385)</f>
        <v>0</v>
      </c>
      <c r="T386" s="24">
        <f>SUM(T384:T385)</f>
        <v>4</v>
      </c>
      <c r="U386" s="24">
        <f>SUM(U384:U385)</f>
        <v>0</v>
      </c>
      <c r="V386" s="26">
        <f>IF(I386-Q386=0,"",IF(D386="",(P386+S386)/(I386-Q386),IF(AND(D386&lt;&gt;"",(P386+S386)/(I386-Q386)&gt;=50%),(P386+S386)/(I386-Q386),"")))</f>
        <v>0.6705882352941176</v>
      </c>
      <c r="W386" s="26">
        <f>IF(I386=O386,"",IF(V386="",0,(P386+Q386+S386-O386)/(I386-O386)))</f>
        <v>0.6781609195402298</v>
      </c>
      <c r="X386" s="49"/>
      <c r="Y386" s="49"/>
      <c r="Z386" s="49"/>
      <c r="AA386" s="49"/>
      <c r="AB386" s="50"/>
      <c r="AC386" s="49"/>
      <c r="AD386" s="49"/>
      <c r="AE386" s="49"/>
      <c r="AF386" s="49"/>
      <c r="AG386" s="49"/>
      <c r="AH386" s="49"/>
      <c r="AI386" s="49"/>
      <c r="AJ386" s="49"/>
      <c r="AK386" s="49"/>
      <c r="AL386" s="49"/>
      <c r="AM386" s="49"/>
      <c r="AN386" s="49"/>
      <c r="AO386" s="49"/>
    </row>
    <row r="387" spans="1:41" s="39" customFormat="1" ht="21.75" customHeight="1">
      <c r="A387" s="32"/>
      <c r="B387" s="107" t="s">
        <v>122</v>
      </c>
      <c r="C387" s="14" t="s">
        <v>2</v>
      </c>
      <c r="D387" s="29"/>
      <c r="E387" s="16" t="s">
        <v>27</v>
      </c>
      <c r="F387" s="15"/>
      <c r="G387" s="15"/>
      <c r="H387" s="15"/>
      <c r="I387" s="17"/>
      <c r="J387" s="15"/>
      <c r="K387" s="15"/>
      <c r="L387" s="15"/>
      <c r="M387" s="15"/>
      <c r="N387" s="15"/>
      <c r="O387" s="15"/>
      <c r="P387" s="15"/>
      <c r="Q387" s="15"/>
      <c r="R387" s="15"/>
      <c r="S387" s="15"/>
      <c r="T387" s="15"/>
      <c r="U387" s="15"/>
      <c r="V387" s="18"/>
      <c r="W387" s="18"/>
      <c r="X387" s="30"/>
      <c r="Y387" s="30"/>
      <c r="Z387" s="30"/>
      <c r="AA387" s="30"/>
      <c r="AB387" s="34"/>
      <c r="AC387" s="30"/>
      <c r="AD387" s="30"/>
      <c r="AE387" s="30"/>
      <c r="AF387" s="30"/>
      <c r="AG387" s="30"/>
      <c r="AH387" s="30"/>
      <c r="AI387" s="30"/>
      <c r="AJ387" s="30"/>
      <c r="AK387" s="30"/>
      <c r="AL387" s="30"/>
      <c r="AM387" s="30"/>
      <c r="AN387" s="30"/>
      <c r="AO387" s="30"/>
    </row>
    <row r="388" spans="1:41" s="39" customFormat="1" ht="21.75" customHeight="1">
      <c r="A388" s="32">
        <v>8</v>
      </c>
      <c r="B388" s="107"/>
      <c r="C388" s="20" t="str">
        <f>IF(A388="","VARA",VLOOKUP(A388,'[1]varas'!$A$4:$B$67,2))</f>
        <v>8ª VT Recife</v>
      </c>
      <c r="D388" s="29"/>
      <c r="E388" s="16"/>
      <c r="F388" s="15">
        <v>8</v>
      </c>
      <c r="G388" s="15">
        <v>0</v>
      </c>
      <c r="H388" s="15">
        <v>0</v>
      </c>
      <c r="I388" s="17">
        <f>SUM(F388:H388)</f>
        <v>8</v>
      </c>
      <c r="J388" s="15">
        <v>0</v>
      </c>
      <c r="K388" s="15">
        <v>0</v>
      </c>
      <c r="L388" s="15">
        <v>0</v>
      </c>
      <c r="M388" s="15">
        <v>0</v>
      </c>
      <c r="N388" s="15">
        <v>0</v>
      </c>
      <c r="O388" s="15">
        <v>4</v>
      </c>
      <c r="P388" s="15">
        <f>SUM(J388:O388)</f>
        <v>4</v>
      </c>
      <c r="Q388" s="15">
        <v>4</v>
      </c>
      <c r="R388" s="15">
        <v>0</v>
      </c>
      <c r="S388" s="15">
        <v>0</v>
      </c>
      <c r="T388" s="15">
        <v>0</v>
      </c>
      <c r="U388" s="15">
        <v>16</v>
      </c>
      <c r="V388" s="18"/>
      <c r="W388" s="18"/>
      <c r="X388" s="30"/>
      <c r="Y388" s="30"/>
      <c r="Z388" s="30"/>
      <c r="AA388" s="30"/>
      <c r="AB388" s="34"/>
      <c r="AC388" s="30"/>
      <c r="AD388" s="30"/>
      <c r="AE388" s="30"/>
      <c r="AF388" s="30"/>
      <c r="AG388" s="30"/>
      <c r="AH388" s="30"/>
      <c r="AI388" s="30"/>
      <c r="AJ388" s="30"/>
      <c r="AK388" s="30"/>
      <c r="AL388" s="30"/>
      <c r="AM388" s="30"/>
      <c r="AN388" s="30"/>
      <c r="AO388" s="30"/>
    </row>
    <row r="389" spans="1:41" s="39" customFormat="1" ht="21.75" customHeight="1">
      <c r="A389" s="32">
        <v>11</v>
      </c>
      <c r="B389" s="107"/>
      <c r="C389" s="20" t="str">
        <f>IF(A389="","VARA",VLOOKUP(A389,'[1]varas'!$A$4:$B$67,2))</f>
        <v>11ª VT Recife</v>
      </c>
      <c r="D389" s="29"/>
      <c r="E389" s="16"/>
      <c r="F389" s="15">
        <v>4</v>
      </c>
      <c r="G389" s="15">
        <v>0</v>
      </c>
      <c r="H389" s="15">
        <v>0</v>
      </c>
      <c r="I389" s="17">
        <f>SUM(F389:H389)</f>
        <v>4</v>
      </c>
      <c r="J389" s="15">
        <v>0</v>
      </c>
      <c r="K389" s="15">
        <v>1</v>
      </c>
      <c r="L389" s="15">
        <v>0</v>
      </c>
      <c r="M389" s="15">
        <v>0</v>
      </c>
      <c r="N389" s="15">
        <v>0</v>
      </c>
      <c r="O389" s="15">
        <v>2</v>
      </c>
      <c r="P389" s="15">
        <f>SUM(J389:O389)</f>
        <v>3</v>
      </c>
      <c r="Q389" s="15">
        <v>1</v>
      </c>
      <c r="R389" s="15">
        <v>0</v>
      </c>
      <c r="S389" s="15">
        <v>0</v>
      </c>
      <c r="T389" s="15">
        <v>0</v>
      </c>
      <c r="U389" s="15">
        <v>21</v>
      </c>
      <c r="V389" s="18"/>
      <c r="W389" s="18"/>
      <c r="X389" s="30"/>
      <c r="Y389" s="30"/>
      <c r="Z389" s="30"/>
      <c r="AA389" s="30"/>
      <c r="AB389" s="34"/>
      <c r="AC389" s="30"/>
      <c r="AD389" s="30"/>
      <c r="AE389" s="30"/>
      <c r="AF389" s="30"/>
      <c r="AG389" s="30"/>
      <c r="AH389" s="30"/>
      <c r="AI389" s="30"/>
      <c r="AJ389" s="30"/>
      <c r="AK389" s="30"/>
      <c r="AL389" s="30"/>
      <c r="AM389" s="30"/>
      <c r="AN389" s="30"/>
      <c r="AO389" s="30"/>
    </row>
    <row r="390" spans="1:41" s="39" customFormat="1" ht="21.75" customHeight="1">
      <c r="A390" s="32">
        <v>60</v>
      </c>
      <c r="B390" s="107"/>
      <c r="C390" s="20" t="str">
        <f>IF(A390="","VARA",VLOOKUP(A390,'[1]varas'!$A$4:$B$67,2))</f>
        <v>VT Timbaúba</v>
      </c>
      <c r="D390" s="29"/>
      <c r="E390" s="16"/>
      <c r="F390" s="15">
        <f>42+163+9+10</f>
        <v>224</v>
      </c>
      <c r="G390" s="15">
        <v>8</v>
      </c>
      <c r="H390" s="15">
        <v>0</v>
      </c>
      <c r="I390" s="17">
        <f>SUM(F390:H390)</f>
        <v>232</v>
      </c>
      <c r="J390" s="15">
        <v>21</v>
      </c>
      <c r="K390" s="15">
        <v>26</v>
      </c>
      <c r="L390" s="15">
        <v>9</v>
      </c>
      <c r="M390" s="15">
        <v>10</v>
      </c>
      <c r="N390" s="15">
        <v>0</v>
      </c>
      <c r="O390" s="15">
        <v>163</v>
      </c>
      <c r="P390" s="15">
        <f>SUM(J390:O390)</f>
        <v>229</v>
      </c>
      <c r="Q390" s="15">
        <v>2</v>
      </c>
      <c r="R390" s="15">
        <v>1</v>
      </c>
      <c r="S390" s="15">
        <v>0</v>
      </c>
      <c r="T390" s="15">
        <v>0</v>
      </c>
      <c r="U390" s="15">
        <v>265</v>
      </c>
      <c r="V390" s="18"/>
      <c r="W390" s="18"/>
      <c r="X390" s="30"/>
      <c r="Y390" s="30"/>
      <c r="Z390" s="30"/>
      <c r="AA390" s="30"/>
      <c r="AB390" s="34"/>
      <c r="AC390" s="30"/>
      <c r="AD390" s="30"/>
      <c r="AE390" s="30"/>
      <c r="AF390" s="30"/>
      <c r="AG390" s="30"/>
      <c r="AH390" s="30"/>
      <c r="AI390" s="30"/>
      <c r="AJ390" s="30"/>
      <c r="AK390" s="30"/>
      <c r="AL390" s="30"/>
      <c r="AM390" s="30"/>
      <c r="AN390" s="30"/>
      <c r="AO390" s="30"/>
    </row>
    <row r="391" spans="1:41" s="39" customFormat="1" ht="20.25" customHeight="1">
      <c r="A391" s="32">
        <v>48</v>
      </c>
      <c r="B391" s="107"/>
      <c r="C391" s="20" t="str">
        <f>IF(A391="","VARA",VLOOKUP(A391,'[1]varas'!$A$4:$B$67,2))</f>
        <v>VT Catende</v>
      </c>
      <c r="D391" s="15"/>
      <c r="E391" s="16"/>
      <c r="F391" s="15">
        <v>14</v>
      </c>
      <c r="G391" s="15">
        <v>0</v>
      </c>
      <c r="H391" s="15">
        <v>16</v>
      </c>
      <c r="I391" s="17">
        <f>SUM(F391:H391)</f>
        <v>30</v>
      </c>
      <c r="J391" s="15">
        <v>30</v>
      </c>
      <c r="K391" s="15">
        <v>0</v>
      </c>
      <c r="L391" s="15">
        <v>0</v>
      </c>
      <c r="M391" s="15">
        <v>0</v>
      </c>
      <c r="N391" s="15">
        <v>0</v>
      </c>
      <c r="O391" s="15">
        <v>0</v>
      </c>
      <c r="P391" s="15">
        <f>SUM(J391:O391)</f>
        <v>30</v>
      </c>
      <c r="Q391" s="15">
        <v>0</v>
      </c>
      <c r="R391" s="15">
        <v>0</v>
      </c>
      <c r="S391" s="15">
        <v>0</v>
      </c>
      <c r="T391" s="15">
        <v>0</v>
      </c>
      <c r="U391" s="15">
        <v>0</v>
      </c>
      <c r="V391" s="18"/>
      <c r="W391" s="18"/>
      <c r="X391" s="30"/>
      <c r="Y391" s="30"/>
      <c r="Z391" s="30"/>
      <c r="AA391" s="30"/>
      <c r="AB391" s="34"/>
      <c r="AC391" s="30"/>
      <c r="AD391" s="30"/>
      <c r="AE391" s="30"/>
      <c r="AF391" s="30"/>
      <c r="AG391" s="30"/>
      <c r="AH391" s="30"/>
      <c r="AI391" s="30"/>
      <c r="AJ391" s="30"/>
      <c r="AK391" s="30"/>
      <c r="AL391" s="30"/>
      <c r="AM391" s="30"/>
      <c r="AN391" s="30"/>
      <c r="AO391" s="30"/>
    </row>
    <row r="392" spans="1:41" s="39" customFormat="1" ht="19.5" customHeight="1">
      <c r="A392" s="32"/>
      <c r="B392" s="107"/>
      <c r="C392" s="20" t="s">
        <v>12</v>
      </c>
      <c r="D392" s="15"/>
      <c r="E392" s="16"/>
      <c r="F392" s="24">
        <f>SUM(F387:F391)</f>
        <v>250</v>
      </c>
      <c r="G392" s="24">
        <f>SUM(G387:G391)</f>
        <v>8</v>
      </c>
      <c r="H392" s="24">
        <f>SUM(H387:H391)</f>
        <v>16</v>
      </c>
      <c r="I392" s="40">
        <f>SUM(F392:H392)</f>
        <v>274</v>
      </c>
      <c r="J392" s="24">
        <f aca="true" t="shared" si="117" ref="J392:O392">SUM(J387:J391)</f>
        <v>51</v>
      </c>
      <c r="K392" s="24">
        <f t="shared" si="117"/>
        <v>27</v>
      </c>
      <c r="L392" s="24">
        <f t="shared" si="117"/>
        <v>9</v>
      </c>
      <c r="M392" s="24">
        <f t="shared" si="117"/>
        <v>10</v>
      </c>
      <c r="N392" s="24">
        <f t="shared" si="117"/>
        <v>0</v>
      </c>
      <c r="O392" s="24">
        <f t="shared" si="117"/>
        <v>169</v>
      </c>
      <c r="P392" s="24">
        <f>SUM(J392:O392)</f>
        <v>266</v>
      </c>
      <c r="Q392" s="24">
        <f>SUM(Q387:Q391)</f>
        <v>7</v>
      </c>
      <c r="R392" s="24">
        <f>SUM(R387:R391)</f>
        <v>1</v>
      </c>
      <c r="S392" s="24">
        <f>SUM(S387:S391)</f>
        <v>0</v>
      </c>
      <c r="T392" s="24">
        <f>SUM(T387:T391)</f>
        <v>0</v>
      </c>
      <c r="U392" s="24">
        <f>SUM(U387:U391)</f>
        <v>302</v>
      </c>
      <c r="V392" s="26">
        <f>IF(I392-Q392=0,"",IF(D392="",(P392+S392)/(I392-Q392),IF(AND(D392&lt;&gt;"",(P392+S392)/(I392-Q392)&gt;=50%),(P392+S392)/(I392-Q392),"")))</f>
        <v>0.9962546816479401</v>
      </c>
      <c r="W392" s="26">
        <f>IF(I392=O392,"",IF(V392="",0,(P392+Q392+S392-O392)/(I392-O392)))</f>
        <v>0.9904761904761905</v>
      </c>
      <c r="X392" s="30"/>
      <c r="Y392" s="30"/>
      <c r="Z392" s="30"/>
      <c r="AA392" s="30"/>
      <c r="AB392" s="34"/>
      <c r="AC392" s="30"/>
      <c r="AD392" s="30"/>
      <c r="AE392" s="30"/>
      <c r="AF392" s="30"/>
      <c r="AG392" s="30"/>
      <c r="AH392" s="30"/>
      <c r="AI392" s="30"/>
      <c r="AJ392" s="30"/>
      <c r="AK392" s="30"/>
      <c r="AL392" s="30"/>
      <c r="AM392" s="30"/>
      <c r="AN392" s="30"/>
      <c r="AO392" s="30"/>
    </row>
    <row r="393" spans="1:41" s="39" customFormat="1" ht="21" customHeight="1">
      <c r="A393" s="32"/>
      <c r="B393" s="107" t="s">
        <v>123</v>
      </c>
      <c r="C393" s="14" t="s">
        <v>2</v>
      </c>
      <c r="D393" s="29" t="s">
        <v>43</v>
      </c>
      <c r="E393" s="16" t="s">
        <v>231</v>
      </c>
      <c r="F393" s="15"/>
      <c r="G393" s="15"/>
      <c r="H393" s="15"/>
      <c r="I393" s="17"/>
      <c r="J393" s="15"/>
      <c r="K393" s="15"/>
      <c r="L393" s="15"/>
      <c r="M393" s="15"/>
      <c r="N393" s="15"/>
      <c r="O393" s="15"/>
      <c r="P393" s="15"/>
      <c r="Q393" s="15"/>
      <c r="R393" s="15"/>
      <c r="S393" s="15"/>
      <c r="T393" s="15"/>
      <c r="U393" s="15"/>
      <c r="V393" s="18"/>
      <c r="W393" s="18"/>
      <c r="X393" s="30"/>
      <c r="Y393" s="30"/>
      <c r="Z393" s="30"/>
      <c r="AA393" s="30"/>
      <c r="AB393" s="34"/>
      <c r="AC393" s="30"/>
      <c r="AD393" s="30"/>
      <c r="AE393" s="30"/>
      <c r="AF393" s="30"/>
      <c r="AG393" s="30"/>
      <c r="AH393" s="30"/>
      <c r="AI393" s="30"/>
      <c r="AJ393" s="30"/>
      <c r="AK393" s="30"/>
      <c r="AL393" s="30"/>
      <c r="AM393" s="30"/>
      <c r="AN393" s="30"/>
      <c r="AO393" s="30"/>
    </row>
    <row r="394" spans="1:41" s="39" customFormat="1" ht="23.25" customHeight="1">
      <c r="A394" s="32">
        <v>49</v>
      </c>
      <c r="B394" s="107"/>
      <c r="C394" s="20" t="str">
        <f>IF(A394="","VARA",VLOOKUP(A394,'[1]varas'!$A$4:$B$67,2))</f>
        <v>VT Escada</v>
      </c>
      <c r="D394" s="15"/>
      <c r="E394" s="16"/>
      <c r="F394" s="15">
        <f>37+94+12</f>
        <v>143</v>
      </c>
      <c r="G394" s="15">
        <v>7</v>
      </c>
      <c r="H394" s="15">
        <v>0</v>
      </c>
      <c r="I394" s="17">
        <f>SUM(F394:H394)</f>
        <v>150</v>
      </c>
      <c r="J394" s="15">
        <v>18</v>
      </c>
      <c r="K394" s="15">
        <v>20</v>
      </c>
      <c r="L394" s="15">
        <v>11</v>
      </c>
      <c r="M394" s="15">
        <v>1</v>
      </c>
      <c r="N394" s="15">
        <v>0</v>
      </c>
      <c r="O394" s="15">
        <v>94</v>
      </c>
      <c r="P394" s="15">
        <f>SUM(J394:O394)</f>
        <v>144</v>
      </c>
      <c r="Q394" s="15">
        <v>6</v>
      </c>
      <c r="R394" s="15">
        <v>0</v>
      </c>
      <c r="S394" s="15">
        <v>0</v>
      </c>
      <c r="T394" s="15">
        <v>0</v>
      </c>
      <c r="U394" s="15">
        <v>184</v>
      </c>
      <c r="V394" s="18"/>
      <c r="W394" s="18"/>
      <c r="X394" s="30"/>
      <c r="Y394" s="30"/>
      <c r="Z394" s="30"/>
      <c r="AA394" s="30"/>
      <c r="AB394" s="34"/>
      <c r="AC394" s="30"/>
      <c r="AD394" s="30"/>
      <c r="AE394" s="30"/>
      <c r="AF394" s="30"/>
      <c r="AG394" s="30"/>
      <c r="AH394" s="30"/>
      <c r="AI394" s="30"/>
      <c r="AJ394" s="30"/>
      <c r="AK394" s="30"/>
      <c r="AL394" s="30"/>
      <c r="AM394" s="30"/>
      <c r="AN394" s="30"/>
      <c r="AO394" s="30"/>
    </row>
    <row r="395" spans="1:41" s="39" customFormat="1" ht="20.25" customHeight="1">
      <c r="A395" s="32"/>
      <c r="B395" s="107"/>
      <c r="C395" s="21" t="s">
        <v>12</v>
      </c>
      <c r="D395" s="33"/>
      <c r="E395" s="23"/>
      <c r="F395" s="24">
        <f>SUM(F393:F394)</f>
        <v>143</v>
      </c>
      <c r="G395" s="24">
        <f>SUM(G393:G394)</f>
        <v>7</v>
      </c>
      <c r="H395" s="24">
        <f>SUM(H393:H394)</f>
        <v>0</v>
      </c>
      <c r="I395" s="25">
        <f>SUM(F395:H395)</f>
        <v>150</v>
      </c>
      <c r="J395" s="24">
        <f aca="true" t="shared" si="118" ref="J395:O395">SUM(J393:J394)</f>
        <v>18</v>
      </c>
      <c r="K395" s="24">
        <f t="shared" si="118"/>
        <v>20</v>
      </c>
      <c r="L395" s="24">
        <f t="shared" si="118"/>
        <v>11</v>
      </c>
      <c r="M395" s="24">
        <f t="shared" si="118"/>
        <v>1</v>
      </c>
      <c r="N395" s="24">
        <f t="shared" si="118"/>
        <v>0</v>
      </c>
      <c r="O395" s="24">
        <f t="shared" si="118"/>
        <v>94</v>
      </c>
      <c r="P395" s="24">
        <f>SUM(J395:O395)</f>
        <v>144</v>
      </c>
      <c r="Q395" s="24">
        <f>SUM(Q393:Q394)</f>
        <v>6</v>
      </c>
      <c r="R395" s="24">
        <f>SUM(R393:R394)</f>
        <v>0</v>
      </c>
      <c r="S395" s="24">
        <f>SUM(S393:S394)</f>
        <v>0</v>
      </c>
      <c r="T395" s="24">
        <f>SUM(T393:T394)</f>
        <v>0</v>
      </c>
      <c r="U395" s="24">
        <f>SUM(U393:U394)</f>
        <v>184</v>
      </c>
      <c r="V395" s="26">
        <f>IF(I395-Q395=0,"",IF(D395="",(P395+S395)/(I395-Q395),IF(AND(D395&lt;&gt;"",(P395+S395)/(I395-Q395)&gt;=50%),(P395+S395)/(I395-Q395),"")))</f>
        <v>1</v>
      </c>
      <c r="W395" s="26">
        <f>IF(I395=O395,"",IF(V395="",0,(P395+Q395+S395-O395)/(I395-O395)))</f>
        <v>1</v>
      </c>
      <c r="X395" s="30"/>
      <c r="Y395" s="30"/>
      <c r="Z395" s="30"/>
      <c r="AA395" s="30"/>
      <c r="AB395" s="34"/>
      <c r="AC395" s="30"/>
      <c r="AD395" s="30"/>
      <c r="AE395" s="30"/>
      <c r="AF395" s="30"/>
      <c r="AG395" s="30"/>
      <c r="AH395" s="30"/>
      <c r="AI395" s="30"/>
      <c r="AJ395" s="30"/>
      <c r="AK395" s="30"/>
      <c r="AL395" s="30"/>
      <c r="AM395" s="30"/>
      <c r="AN395" s="30"/>
      <c r="AO395" s="30"/>
    </row>
    <row r="396" spans="1:41" s="39" customFormat="1" ht="21.75" customHeight="1">
      <c r="A396" s="32"/>
      <c r="B396" s="107" t="s">
        <v>124</v>
      </c>
      <c r="C396" s="14" t="s">
        <v>2</v>
      </c>
      <c r="D396" s="29" t="s">
        <v>30</v>
      </c>
      <c r="E396" s="16" t="s">
        <v>184</v>
      </c>
      <c r="F396" s="15"/>
      <c r="G396" s="15"/>
      <c r="H396" s="15"/>
      <c r="I396" s="17"/>
      <c r="J396" s="15"/>
      <c r="K396" s="15"/>
      <c r="L396" s="15"/>
      <c r="M396" s="15"/>
      <c r="N396" s="15"/>
      <c r="O396" s="15"/>
      <c r="P396" s="15"/>
      <c r="Q396" s="15"/>
      <c r="R396" s="15"/>
      <c r="S396" s="15"/>
      <c r="T396" s="15"/>
      <c r="U396" s="15"/>
      <c r="V396" s="18"/>
      <c r="W396" s="18"/>
      <c r="X396" s="30"/>
      <c r="Y396" s="30"/>
      <c r="Z396" s="30"/>
      <c r="AA396" s="30"/>
      <c r="AB396" s="34"/>
      <c r="AC396" s="30"/>
      <c r="AD396" s="30"/>
      <c r="AE396" s="30"/>
      <c r="AF396" s="30"/>
      <c r="AG396" s="30"/>
      <c r="AH396" s="30"/>
      <c r="AI396" s="30"/>
      <c r="AJ396" s="30"/>
      <c r="AK396" s="30"/>
      <c r="AL396" s="30"/>
      <c r="AM396" s="30"/>
      <c r="AN396" s="30"/>
      <c r="AO396" s="30"/>
    </row>
    <row r="397" spans="1:41" s="39" customFormat="1" ht="18" customHeight="1">
      <c r="A397" s="32">
        <v>10</v>
      </c>
      <c r="B397" s="107"/>
      <c r="C397" s="20" t="str">
        <f>IF(A397="","VARA",VLOOKUP(A397,'[1]varas'!$A$4:$B$67,2))</f>
        <v>10ª VT Recife</v>
      </c>
      <c r="D397" s="15"/>
      <c r="E397" s="16"/>
      <c r="F397" s="15">
        <f>15+12+18+4</f>
        <v>49</v>
      </c>
      <c r="G397" s="15">
        <v>0</v>
      </c>
      <c r="H397" s="15">
        <v>1</v>
      </c>
      <c r="I397" s="17">
        <f>SUM(F397:H397)</f>
        <v>50</v>
      </c>
      <c r="J397" s="15">
        <v>12</v>
      </c>
      <c r="K397" s="15">
        <v>4</v>
      </c>
      <c r="L397" s="15">
        <v>18</v>
      </c>
      <c r="M397" s="15">
        <v>4</v>
      </c>
      <c r="N397" s="15">
        <v>0</v>
      </c>
      <c r="O397" s="15">
        <v>12</v>
      </c>
      <c r="P397" s="15">
        <f>SUM(J397:O397)</f>
        <v>50</v>
      </c>
      <c r="Q397" s="15">
        <v>0</v>
      </c>
      <c r="R397" s="15">
        <v>0</v>
      </c>
      <c r="S397" s="15">
        <v>0</v>
      </c>
      <c r="T397" s="15">
        <v>0</v>
      </c>
      <c r="U397" s="15">
        <v>74</v>
      </c>
      <c r="V397" s="18"/>
      <c r="W397" s="18"/>
      <c r="X397" s="30"/>
      <c r="Y397" s="30"/>
      <c r="Z397" s="30"/>
      <c r="AA397" s="30"/>
      <c r="AB397" s="34"/>
      <c r="AC397" s="30"/>
      <c r="AD397" s="30"/>
      <c r="AE397" s="30"/>
      <c r="AF397" s="30"/>
      <c r="AG397" s="30"/>
      <c r="AH397" s="30"/>
      <c r="AI397" s="30"/>
      <c r="AJ397" s="30"/>
      <c r="AK397" s="30"/>
      <c r="AL397" s="30"/>
      <c r="AM397" s="30"/>
      <c r="AN397" s="30"/>
      <c r="AO397" s="30"/>
    </row>
    <row r="398" spans="1:41" s="39" customFormat="1" ht="18.75" customHeight="1">
      <c r="A398" s="32"/>
      <c r="B398" s="107"/>
      <c r="C398" s="21" t="s">
        <v>12</v>
      </c>
      <c r="D398" s="33"/>
      <c r="E398" s="23"/>
      <c r="F398" s="24">
        <f>SUM(F396:F397)</f>
        <v>49</v>
      </c>
      <c r="G398" s="24">
        <f>SUM(G396:G397)</f>
        <v>0</v>
      </c>
      <c r="H398" s="24">
        <f>SUM(H396:H397)</f>
        <v>1</v>
      </c>
      <c r="I398" s="40">
        <f>SUM(F398:H398)</f>
        <v>50</v>
      </c>
      <c r="J398" s="24">
        <f aca="true" t="shared" si="119" ref="J398:O398">SUM(J396:J397)</f>
        <v>12</v>
      </c>
      <c r="K398" s="24">
        <f t="shared" si="119"/>
        <v>4</v>
      </c>
      <c r="L398" s="24">
        <f t="shared" si="119"/>
        <v>18</v>
      </c>
      <c r="M398" s="24">
        <f t="shared" si="119"/>
        <v>4</v>
      </c>
      <c r="N398" s="24">
        <f t="shared" si="119"/>
        <v>0</v>
      </c>
      <c r="O398" s="24">
        <f t="shared" si="119"/>
        <v>12</v>
      </c>
      <c r="P398" s="24">
        <f>SUM(J398:O398)</f>
        <v>50</v>
      </c>
      <c r="Q398" s="24">
        <f>SUM(Q396:Q397)</f>
        <v>0</v>
      </c>
      <c r="R398" s="24">
        <f>SUM(R396:R397)</f>
        <v>0</v>
      </c>
      <c r="S398" s="24">
        <f>SUM(S396:S397)</f>
        <v>0</v>
      </c>
      <c r="T398" s="24">
        <f>SUM(T396:T397)</f>
        <v>0</v>
      </c>
      <c r="U398" s="24">
        <f>SUM(U396:U397)</f>
        <v>74</v>
      </c>
      <c r="V398" s="26">
        <f>IF(I398-Q398=0,"",IF(D398="",(P398+S398)/(I398-Q398),IF(AND(D398&lt;&gt;"",(P398+S398)/(I398-Q398)&gt;=50%),(P398+S398)/(I398-Q398),"")))</f>
        <v>1</v>
      </c>
      <c r="W398" s="26">
        <f>IF(I398=O398,"",IF(V398="",0,(P398+Q398+S398-O398)/(I398-O398)))</f>
        <v>1</v>
      </c>
      <c r="X398" s="30"/>
      <c r="Y398" s="30"/>
      <c r="Z398" s="30"/>
      <c r="AA398" s="30"/>
      <c r="AB398" s="34"/>
      <c r="AC398" s="30"/>
      <c r="AD398" s="30"/>
      <c r="AE398" s="30"/>
      <c r="AF398" s="30"/>
      <c r="AG398" s="30"/>
      <c r="AH398" s="30"/>
      <c r="AI398" s="30"/>
      <c r="AJ398" s="30"/>
      <c r="AK398" s="30"/>
      <c r="AL398" s="30"/>
      <c r="AM398" s="30"/>
      <c r="AN398" s="30"/>
      <c r="AO398" s="30"/>
    </row>
    <row r="399" spans="1:41" s="39" customFormat="1" ht="19.5" customHeight="1">
      <c r="A399" s="32"/>
      <c r="B399" s="107" t="s">
        <v>125</v>
      </c>
      <c r="C399" s="14" t="s">
        <v>186</v>
      </c>
      <c r="D399" s="29" t="s">
        <v>185</v>
      </c>
      <c r="E399" s="16" t="s">
        <v>176</v>
      </c>
      <c r="F399" s="15"/>
      <c r="G399" s="15"/>
      <c r="H399" s="15"/>
      <c r="I399" s="17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  <c r="U399" s="15"/>
      <c r="V399" s="18"/>
      <c r="W399" s="18"/>
      <c r="X399" s="30"/>
      <c r="Y399" s="30"/>
      <c r="Z399" s="30"/>
      <c r="AA399" s="30"/>
      <c r="AB399" s="34"/>
      <c r="AC399" s="30"/>
      <c r="AD399" s="30"/>
      <c r="AE399" s="30"/>
      <c r="AF399" s="30"/>
      <c r="AG399" s="30"/>
      <c r="AH399" s="30"/>
      <c r="AI399" s="30"/>
      <c r="AJ399" s="30"/>
      <c r="AK399" s="30"/>
      <c r="AL399" s="30"/>
      <c r="AM399" s="30"/>
      <c r="AN399" s="30"/>
      <c r="AO399" s="30"/>
    </row>
    <row r="400" spans="1:41" s="39" customFormat="1" ht="20.25" customHeight="1">
      <c r="A400" s="32">
        <v>20</v>
      </c>
      <c r="B400" s="107"/>
      <c r="C400" s="20" t="str">
        <f>IF(A400="","VARA",VLOOKUP(A400,'[1]varas'!$A$4:$B$67,2))</f>
        <v>20ª VT Recife</v>
      </c>
      <c r="D400" s="29"/>
      <c r="E400" s="16"/>
      <c r="F400" s="15">
        <v>2</v>
      </c>
      <c r="G400" s="15">
        <v>0</v>
      </c>
      <c r="H400" s="15">
        <v>0</v>
      </c>
      <c r="I400" s="17">
        <f>SUM(F400:H400)</f>
        <v>2</v>
      </c>
      <c r="J400" s="15">
        <v>0</v>
      </c>
      <c r="K400" s="15">
        <v>0</v>
      </c>
      <c r="L400" s="15">
        <v>0</v>
      </c>
      <c r="M400" s="15">
        <v>0</v>
      </c>
      <c r="N400" s="15">
        <v>0</v>
      </c>
      <c r="O400" s="15">
        <v>2</v>
      </c>
      <c r="P400" s="15">
        <f>SUM(J400:O400)</f>
        <v>2</v>
      </c>
      <c r="Q400" s="15">
        <v>0</v>
      </c>
      <c r="R400" s="15">
        <v>0</v>
      </c>
      <c r="S400" s="15">
        <v>0</v>
      </c>
      <c r="T400" s="15">
        <v>0</v>
      </c>
      <c r="U400" s="15">
        <v>2</v>
      </c>
      <c r="V400" s="18"/>
      <c r="W400" s="18"/>
      <c r="X400" s="30"/>
      <c r="Y400" s="30"/>
      <c r="Z400" s="30"/>
      <c r="AA400" s="30"/>
      <c r="AB400" s="34"/>
      <c r="AC400" s="30"/>
      <c r="AD400" s="30"/>
      <c r="AE400" s="30"/>
      <c r="AF400" s="30"/>
      <c r="AG400" s="30"/>
      <c r="AH400" s="30"/>
      <c r="AI400" s="30"/>
      <c r="AJ400" s="30"/>
      <c r="AK400" s="30"/>
      <c r="AL400" s="30"/>
      <c r="AM400" s="30"/>
      <c r="AN400" s="30"/>
      <c r="AO400" s="30"/>
    </row>
    <row r="401" spans="1:41" s="39" customFormat="1" ht="18.75" customHeight="1">
      <c r="A401" s="32">
        <v>34</v>
      </c>
      <c r="B401" s="107"/>
      <c r="C401" s="20" t="str">
        <f>IF(A401="","VARA",VLOOKUP(A401,'[1]varas'!$A$4:$B$67,2))</f>
        <v>1ª VT Jaboatão</v>
      </c>
      <c r="D401" s="29"/>
      <c r="E401" s="16"/>
      <c r="F401" s="15">
        <v>1</v>
      </c>
      <c r="G401" s="15">
        <v>0</v>
      </c>
      <c r="H401" s="15">
        <v>0</v>
      </c>
      <c r="I401" s="17">
        <f>SUM(F401:H401)</f>
        <v>1</v>
      </c>
      <c r="J401" s="15">
        <v>0</v>
      </c>
      <c r="K401" s="15">
        <v>0</v>
      </c>
      <c r="L401" s="15">
        <v>0</v>
      </c>
      <c r="M401" s="15">
        <v>0</v>
      </c>
      <c r="N401" s="15">
        <v>0</v>
      </c>
      <c r="O401" s="15">
        <v>1</v>
      </c>
      <c r="P401" s="15">
        <f>SUM(J401:O401)</f>
        <v>1</v>
      </c>
      <c r="Q401" s="15">
        <v>0</v>
      </c>
      <c r="R401" s="15">
        <v>0</v>
      </c>
      <c r="S401" s="15">
        <v>0</v>
      </c>
      <c r="T401" s="15">
        <v>0</v>
      </c>
      <c r="U401" s="15">
        <v>1</v>
      </c>
      <c r="V401" s="18"/>
      <c r="W401" s="18"/>
      <c r="X401" s="30"/>
      <c r="Y401" s="30"/>
      <c r="Z401" s="30"/>
      <c r="AA401" s="30"/>
      <c r="AB401" s="34"/>
      <c r="AC401" s="30"/>
      <c r="AD401" s="30"/>
      <c r="AE401" s="30"/>
      <c r="AF401" s="30"/>
      <c r="AG401" s="30"/>
      <c r="AH401" s="30"/>
      <c r="AI401" s="30"/>
      <c r="AJ401" s="30"/>
      <c r="AK401" s="30"/>
      <c r="AL401" s="30"/>
      <c r="AM401" s="30"/>
      <c r="AN401" s="30"/>
      <c r="AO401" s="30"/>
    </row>
    <row r="402" spans="1:41" s="39" customFormat="1" ht="18.75" customHeight="1">
      <c r="A402" s="32">
        <v>38</v>
      </c>
      <c r="B402" s="107"/>
      <c r="C402" s="20" t="str">
        <f>IF(A402="","VARA",VLOOKUP(A402,'[1]varas'!$A$4:$B$67,2))</f>
        <v>1ª VT Olinda</v>
      </c>
      <c r="D402" s="29"/>
      <c r="E402" s="16"/>
      <c r="F402" s="15">
        <v>1</v>
      </c>
      <c r="G402" s="15">
        <v>0</v>
      </c>
      <c r="H402" s="15">
        <v>0</v>
      </c>
      <c r="I402" s="17">
        <f>SUM(F402:H402)</f>
        <v>1</v>
      </c>
      <c r="J402" s="15">
        <v>0</v>
      </c>
      <c r="K402" s="15">
        <v>0</v>
      </c>
      <c r="L402" s="15">
        <v>0</v>
      </c>
      <c r="M402" s="15">
        <v>0</v>
      </c>
      <c r="N402" s="15">
        <v>0</v>
      </c>
      <c r="O402" s="15">
        <v>1</v>
      </c>
      <c r="P402" s="15">
        <f>SUM(J402:O402)</f>
        <v>1</v>
      </c>
      <c r="Q402" s="15">
        <v>0</v>
      </c>
      <c r="R402" s="15">
        <v>0</v>
      </c>
      <c r="S402" s="15">
        <v>0</v>
      </c>
      <c r="T402" s="15">
        <v>0</v>
      </c>
      <c r="U402" s="15">
        <v>1</v>
      </c>
      <c r="V402" s="18"/>
      <c r="W402" s="18"/>
      <c r="X402" s="30"/>
      <c r="Y402" s="30"/>
      <c r="Z402" s="30"/>
      <c r="AA402" s="30"/>
      <c r="AB402" s="34"/>
      <c r="AC402" s="30"/>
      <c r="AD402" s="30"/>
      <c r="AE402" s="30"/>
      <c r="AF402" s="30"/>
      <c r="AG402" s="30"/>
      <c r="AH402" s="30"/>
      <c r="AI402" s="30"/>
      <c r="AJ402" s="30"/>
      <c r="AK402" s="30"/>
      <c r="AL402" s="30"/>
      <c r="AM402" s="30"/>
      <c r="AN402" s="30"/>
      <c r="AO402" s="30"/>
    </row>
    <row r="403" spans="1:41" s="39" customFormat="1" ht="18.75" customHeight="1">
      <c r="A403" s="32">
        <v>56</v>
      </c>
      <c r="B403" s="107"/>
      <c r="C403" s="20" t="str">
        <f>IF(A403="","VARA",VLOOKUP(A403,'[1]varas'!$A$4:$B$67,2))</f>
        <v>VT Ribeirão</v>
      </c>
      <c r="D403" s="29"/>
      <c r="E403" s="16"/>
      <c r="F403" s="15">
        <f>12+15+2</f>
        <v>29</v>
      </c>
      <c r="G403" s="15">
        <v>1</v>
      </c>
      <c r="H403" s="15">
        <v>4</v>
      </c>
      <c r="I403" s="17">
        <f>SUM(F403:H403)</f>
        <v>34</v>
      </c>
      <c r="J403" s="15">
        <v>9</v>
      </c>
      <c r="K403" s="15">
        <v>8</v>
      </c>
      <c r="L403" s="15">
        <v>2</v>
      </c>
      <c r="M403" s="15">
        <v>0</v>
      </c>
      <c r="N403" s="15">
        <v>0</v>
      </c>
      <c r="O403" s="15">
        <v>15</v>
      </c>
      <c r="P403" s="15">
        <f>SUM(J403:O403)</f>
        <v>34</v>
      </c>
      <c r="Q403" s="15">
        <v>0</v>
      </c>
      <c r="R403" s="15">
        <v>0</v>
      </c>
      <c r="S403" s="15">
        <v>0</v>
      </c>
      <c r="T403" s="15">
        <v>0</v>
      </c>
      <c r="U403" s="15">
        <v>64</v>
      </c>
      <c r="V403" s="18"/>
      <c r="W403" s="18"/>
      <c r="X403" s="30"/>
      <c r="Y403" s="30"/>
      <c r="Z403" s="30"/>
      <c r="AA403" s="30"/>
      <c r="AB403" s="34"/>
      <c r="AC403" s="30"/>
      <c r="AD403" s="30"/>
      <c r="AE403" s="30"/>
      <c r="AF403" s="30"/>
      <c r="AG403" s="30"/>
      <c r="AH403" s="30"/>
      <c r="AI403" s="30"/>
      <c r="AJ403" s="30"/>
      <c r="AK403" s="30"/>
      <c r="AL403" s="30"/>
      <c r="AM403" s="30"/>
      <c r="AN403" s="30"/>
      <c r="AO403" s="30"/>
    </row>
    <row r="404" spans="1:41" s="39" customFormat="1" ht="18.75" customHeight="1">
      <c r="A404" s="32"/>
      <c r="B404" s="107"/>
      <c r="C404" s="20" t="s">
        <v>12</v>
      </c>
      <c r="D404" s="15"/>
      <c r="E404" s="48"/>
      <c r="F404" s="24">
        <f>SUM(F399:F403)</f>
        <v>33</v>
      </c>
      <c r="G404" s="24">
        <f>SUM(G399:G403)</f>
        <v>1</v>
      </c>
      <c r="H404" s="24">
        <f>SUM(H399:H403)</f>
        <v>4</v>
      </c>
      <c r="I404" s="40">
        <f>SUM(F404:H404)</f>
        <v>38</v>
      </c>
      <c r="J404" s="24">
        <f aca="true" t="shared" si="120" ref="J404:O404">SUM(J399:J403)</f>
        <v>9</v>
      </c>
      <c r="K404" s="24">
        <f t="shared" si="120"/>
        <v>8</v>
      </c>
      <c r="L404" s="24">
        <f t="shared" si="120"/>
        <v>2</v>
      </c>
      <c r="M404" s="24">
        <f t="shared" si="120"/>
        <v>0</v>
      </c>
      <c r="N404" s="24">
        <f t="shared" si="120"/>
        <v>0</v>
      </c>
      <c r="O404" s="24">
        <f t="shared" si="120"/>
        <v>19</v>
      </c>
      <c r="P404" s="24">
        <f>SUM(J404:O404)</f>
        <v>38</v>
      </c>
      <c r="Q404" s="24">
        <f>SUM(Q399:Q403)</f>
        <v>0</v>
      </c>
      <c r="R404" s="24">
        <f>SUM(R399:R403)</f>
        <v>0</v>
      </c>
      <c r="S404" s="24">
        <f>SUM(S399:S403)</f>
        <v>0</v>
      </c>
      <c r="T404" s="24">
        <f>SUM(T399:T403)</f>
        <v>0</v>
      </c>
      <c r="U404" s="24">
        <f>SUM(U399:U403)</f>
        <v>68</v>
      </c>
      <c r="V404" s="26">
        <f>IF(I404-Q404=0,"",IF(D404="",(P404+S404)/(I404-Q404),IF(AND(D404&lt;&gt;"",(P404+S404)/(I404-Q404)&gt;=50%),(P404+S404)/(I404-Q404),"")))</f>
        <v>1</v>
      </c>
      <c r="W404" s="26">
        <f>IF(I404=O404,"",IF(V404="",0,(P404+Q404+S404-O404)/(I404-O404)))</f>
        <v>1</v>
      </c>
      <c r="X404" s="30"/>
      <c r="Y404" s="30"/>
      <c r="Z404" s="30"/>
      <c r="AA404" s="30"/>
      <c r="AB404" s="34"/>
      <c r="AC404" s="30"/>
      <c r="AD404" s="30"/>
      <c r="AE404" s="30"/>
      <c r="AF404" s="30"/>
      <c r="AG404" s="30"/>
      <c r="AH404" s="30"/>
      <c r="AI404" s="30"/>
      <c r="AJ404" s="30"/>
      <c r="AK404" s="30"/>
      <c r="AL404" s="30"/>
      <c r="AM404" s="30"/>
      <c r="AN404" s="30"/>
      <c r="AO404" s="30"/>
    </row>
    <row r="405" spans="1:41" s="39" customFormat="1" ht="21" customHeight="1">
      <c r="A405" s="32"/>
      <c r="B405" s="107" t="s">
        <v>126</v>
      </c>
      <c r="C405" s="14" t="s">
        <v>2</v>
      </c>
      <c r="D405" s="29" t="s">
        <v>30</v>
      </c>
      <c r="E405" s="16" t="s">
        <v>201</v>
      </c>
      <c r="F405" s="15"/>
      <c r="G405" s="15"/>
      <c r="H405" s="15"/>
      <c r="I405" s="17"/>
      <c r="J405" s="15"/>
      <c r="K405" s="15"/>
      <c r="L405" s="15"/>
      <c r="M405" s="15"/>
      <c r="N405" s="15"/>
      <c r="O405" s="15"/>
      <c r="P405" s="15"/>
      <c r="Q405" s="15"/>
      <c r="R405" s="15"/>
      <c r="S405" s="15"/>
      <c r="T405" s="15"/>
      <c r="U405" s="15"/>
      <c r="V405" s="18"/>
      <c r="W405" s="18"/>
      <c r="X405" s="30"/>
      <c r="Y405" s="30"/>
      <c r="Z405" s="30"/>
      <c r="AA405" s="30"/>
      <c r="AB405" s="34"/>
      <c r="AC405" s="30"/>
      <c r="AD405" s="30"/>
      <c r="AE405" s="30"/>
      <c r="AF405" s="30"/>
      <c r="AG405" s="30"/>
      <c r="AH405" s="30"/>
      <c r="AI405" s="30"/>
      <c r="AJ405" s="30"/>
      <c r="AK405" s="30"/>
      <c r="AL405" s="30"/>
      <c r="AM405" s="30"/>
      <c r="AN405" s="30"/>
      <c r="AO405" s="30"/>
    </row>
    <row r="406" spans="1:41" s="39" customFormat="1" ht="19.5" customHeight="1">
      <c r="A406" s="32">
        <v>65</v>
      </c>
      <c r="B406" s="107"/>
      <c r="C406" s="20" t="str">
        <f>IF(A406="","VARA",VLOOKUP(A406,'[1]varas'!$A$4:$B$76,2))</f>
        <v>3ª VT Ipojuca</v>
      </c>
      <c r="D406" s="15"/>
      <c r="E406" s="16"/>
      <c r="F406" s="15">
        <v>0</v>
      </c>
      <c r="G406" s="15">
        <v>0</v>
      </c>
      <c r="H406" s="15">
        <v>0</v>
      </c>
      <c r="I406" s="17">
        <f>SUM(F406:H406)</f>
        <v>0</v>
      </c>
      <c r="J406" s="15">
        <v>0</v>
      </c>
      <c r="K406" s="15">
        <v>0</v>
      </c>
      <c r="L406" s="15">
        <v>0</v>
      </c>
      <c r="M406" s="15">
        <v>0</v>
      </c>
      <c r="N406" s="15">
        <v>0</v>
      </c>
      <c r="O406" s="15">
        <v>0</v>
      </c>
      <c r="P406" s="15">
        <f>SUM(J406:O406)</f>
        <v>0</v>
      </c>
      <c r="Q406" s="15">
        <v>0</v>
      </c>
      <c r="R406" s="15">
        <v>0</v>
      </c>
      <c r="S406" s="15">
        <v>0</v>
      </c>
      <c r="T406" s="15">
        <v>0</v>
      </c>
      <c r="U406" s="15">
        <v>0</v>
      </c>
      <c r="V406" s="18"/>
      <c r="W406" s="18"/>
      <c r="X406" s="30"/>
      <c r="Y406" s="30"/>
      <c r="Z406" s="30"/>
      <c r="AA406" s="30"/>
      <c r="AB406" s="34"/>
      <c r="AC406" s="30"/>
      <c r="AD406" s="30"/>
      <c r="AE406" s="30"/>
      <c r="AF406" s="30"/>
      <c r="AG406" s="30"/>
      <c r="AH406" s="30"/>
      <c r="AI406" s="30"/>
      <c r="AJ406" s="30"/>
      <c r="AK406" s="30"/>
      <c r="AL406" s="30"/>
      <c r="AM406" s="30"/>
      <c r="AN406" s="30"/>
      <c r="AO406" s="30"/>
    </row>
    <row r="407" spans="1:41" s="39" customFormat="1" ht="18.75" customHeight="1">
      <c r="A407" s="32"/>
      <c r="B407" s="107"/>
      <c r="C407" s="21" t="s">
        <v>12</v>
      </c>
      <c r="D407" s="33"/>
      <c r="E407" s="52"/>
      <c r="F407" s="24">
        <f>SUM(F405:F406)</f>
        <v>0</v>
      </c>
      <c r="G407" s="24">
        <f>SUM(G405:G406)</f>
        <v>0</v>
      </c>
      <c r="H407" s="24">
        <f>SUM(H405:H406)</f>
        <v>0</v>
      </c>
      <c r="I407" s="25">
        <f>SUM(F407:H407)</f>
        <v>0</v>
      </c>
      <c r="J407" s="24">
        <f aca="true" t="shared" si="121" ref="J407:O407">SUM(J405:J406)</f>
        <v>0</v>
      </c>
      <c r="K407" s="24">
        <f t="shared" si="121"/>
        <v>0</v>
      </c>
      <c r="L407" s="24">
        <f t="shared" si="121"/>
        <v>0</v>
      </c>
      <c r="M407" s="24">
        <f t="shared" si="121"/>
        <v>0</v>
      </c>
      <c r="N407" s="24">
        <f t="shared" si="121"/>
        <v>0</v>
      </c>
      <c r="O407" s="24">
        <f t="shared" si="121"/>
        <v>0</v>
      </c>
      <c r="P407" s="24">
        <f>SUM(J407:O407)</f>
        <v>0</v>
      </c>
      <c r="Q407" s="24">
        <f>SUM(Q405:Q406)</f>
        <v>0</v>
      </c>
      <c r="R407" s="24">
        <f>SUM(R405:R406)</f>
        <v>0</v>
      </c>
      <c r="S407" s="24">
        <f>SUM(S405:S406)</f>
        <v>0</v>
      </c>
      <c r="T407" s="24">
        <f>SUM(T405:T406)</f>
        <v>0</v>
      </c>
      <c r="U407" s="24">
        <f>SUM(U405:U406)</f>
        <v>0</v>
      </c>
      <c r="V407" s="26">
        <f>IF(I407-Q407=0,"",IF(D407="",(P407+S407)/(I407-Q407),IF(AND(D407&lt;&gt;"",(P407+S407)/(I407-Q407)&gt;=50%),(P407+S407)/(I407-Q407),"")))</f>
      </c>
      <c r="W407" s="26">
        <f>IF(I407=O407,"",IF(V407="",0,(P407+Q407+S407-O407)/(I407-O407)))</f>
      </c>
      <c r="X407" s="30"/>
      <c r="Y407" s="30"/>
      <c r="Z407" s="30"/>
      <c r="AA407" s="30"/>
      <c r="AB407" s="34"/>
      <c r="AC407" s="30"/>
      <c r="AD407" s="30"/>
      <c r="AE407" s="30"/>
      <c r="AF407" s="30"/>
      <c r="AG407" s="30"/>
      <c r="AH407" s="30"/>
      <c r="AI407" s="30"/>
      <c r="AJ407" s="30"/>
      <c r="AK407" s="30"/>
      <c r="AL407" s="30"/>
      <c r="AM407" s="30"/>
      <c r="AN407" s="30"/>
      <c r="AO407" s="30"/>
    </row>
    <row r="408" spans="1:41" s="39" customFormat="1" ht="24.75" customHeight="1">
      <c r="A408" s="32"/>
      <c r="B408" s="107" t="s">
        <v>127</v>
      </c>
      <c r="C408" s="14" t="s">
        <v>2</v>
      </c>
      <c r="D408" s="29" t="s">
        <v>232</v>
      </c>
      <c r="E408" s="16" t="s">
        <v>242</v>
      </c>
      <c r="F408" s="15"/>
      <c r="G408" s="15"/>
      <c r="H408" s="15"/>
      <c r="I408" s="17"/>
      <c r="J408" s="15"/>
      <c r="K408" s="15"/>
      <c r="L408" s="15"/>
      <c r="M408" s="15"/>
      <c r="N408" s="15"/>
      <c r="O408" s="15"/>
      <c r="P408" s="15"/>
      <c r="Q408" s="15"/>
      <c r="R408" s="15"/>
      <c r="S408" s="15"/>
      <c r="T408" s="15"/>
      <c r="U408" s="15"/>
      <c r="V408" s="18"/>
      <c r="W408" s="18"/>
      <c r="X408" s="30"/>
      <c r="Y408" s="30"/>
      <c r="Z408" s="30"/>
      <c r="AA408" s="30"/>
      <c r="AB408" s="34"/>
      <c r="AC408" s="30"/>
      <c r="AD408" s="30"/>
      <c r="AE408" s="30"/>
      <c r="AF408" s="30"/>
      <c r="AG408" s="30"/>
      <c r="AH408" s="30"/>
      <c r="AI408" s="30"/>
      <c r="AJ408" s="30"/>
      <c r="AK408" s="30"/>
      <c r="AL408" s="30"/>
      <c r="AM408" s="30"/>
      <c r="AN408" s="30"/>
      <c r="AO408" s="30"/>
    </row>
    <row r="409" spans="1:41" s="39" customFormat="1" ht="20.25" customHeight="1">
      <c r="A409" s="32">
        <v>35</v>
      </c>
      <c r="B409" s="107"/>
      <c r="C409" s="20" t="str">
        <f>IF(A409="","VARA",VLOOKUP(A409,'[1]varas'!$A$4:$B$67,2))</f>
        <v>2ª VT Jaboatão</v>
      </c>
      <c r="D409" s="15"/>
      <c r="E409" s="16"/>
      <c r="F409" s="15">
        <v>0</v>
      </c>
      <c r="G409" s="15">
        <v>0</v>
      </c>
      <c r="H409" s="15">
        <v>0</v>
      </c>
      <c r="I409" s="17">
        <f>SUM(F409:H409)</f>
        <v>0</v>
      </c>
      <c r="J409" s="15">
        <v>0</v>
      </c>
      <c r="K409" s="15">
        <v>0</v>
      </c>
      <c r="L409" s="15">
        <v>0</v>
      </c>
      <c r="M409" s="15">
        <v>0</v>
      </c>
      <c r="N409" s="15">
        <v>0</v>
      </c>
      <c r="O409" s="15">
        <v>0</v>
      </c>
      <c r="P409" s="15">
        <f>SUM(J409:O409)</f>
        <v>0</v>
      </c>
      <c r="Q409" s="15">
        <v>0</v>
      </c>
      <c r="R409" s="15">
        <v>0</v>
      </c>
      <c r="S409" s="15">
        <v>0</v>
      </c>
      <c r="T409" s="15">
        <v>0</v>
      </c>
      <c r="U409" s="15">
        <v>0</v>
      </c>
      <c r="V409" s="18"/>
      <c r="W409" s="18"/>
      <c r="X409" s="30"/>
      <c r="Y409" s="30"/>
      <c r="Z409" s="30"/>
      <c r="AA409" s="30"/>
      <c r="AB409" s="34"/>
      <c r="AC409" s="30"/>
      <c r="AD409" s="30"/>
      <c r="AE409" s="30"/>
      <c r="AF409" s="30"/>
      <c r="AG409" s="30"/>
      <c r="AH409" s="30"/>
      <c r="AI409" s="30"/>
      <c r="AJ409" s="30"/>
      <c r="AK409" s="30"/>
      <c r="AL409" s="30"/>
      <c r="AM409" s="30"/>
      <c r="AN409" s="30"/>
      <c r="AO409" s="30"/>
    </row>
    <row r="410" spans="1:41" s="39" customFormat="1" ht="17.25" customHeight="1">
      <c r="A410" s="32"/>
      <c r="B410" s="107"/>
      <c r="C410" s="21" t="s">
        <v>12</v>
      </c>
      <c r="D410" s="33"/>
      <c r="E410" s="23"/>
      <c r="F410" s="24">
        <f>SUM(F408:F409)</f>
        <v>0</v>
      </c>
      <c r="G410" s="24">
        <f>SUM(G408:G409)</f>
        <v>0</v>
      </c>
      <c r="H410" s="24">
        <f>SUM(H408:H409)</f>
        <v>0</v>
      </c>
      <c r="I410" s="25">
        <f>SUM(F410:H410)</f>
        <v>0</v>
      </c>
      <c r="J410" s="24">
        <f aca="true" t="shared" si="122" ref="J410:O410">SUM(J408:J409)</f>
        <v>0</v>
      </c>
      <c r="K410" s="24">
        <f t="shared" si="122"/>
        <v>0</v>
      </c>
      <c r="L410" s="24">
        <f t="shared" si="122"/>
        <v>0</v>
      </c>
      <c r="M410" s="24">
        <f t="shared" si="122"/>
        <v>0</v>
      </c>
      <c r="N410" s="24">
        <f t="shared" si="122"/>
        <v>0</v>
      </c>
      <c r="O410" s="24">
        <f t="shared" si="122"/>
        <v>0</v>
      </c>
      <c r="P410" s="24">
        <f>SUM(J410:O410)</f>
        <v>0</v>
      </c>
      <c r="Q410" s="24">
        <f>SUM(Q408:Q409)</f>
        <v>0</v>
      </c>
      <c r="R410" s="24">
        <f>SUM(R408:R409)</f>
        <v>0</v>
      </c>
      <c r="S410" s="24">
        <f>SUM(S408:S409)</f>
        <v>0</v>
      </c>
      <c r="T410" s="24">
        <f>SUM(T408:T409)</f>
        <v>0</v>
      </c>
      <c r="U410" s="24">
        <f>SUM(U408:U409)</f>
        <v>0</v>
      </c>
      <c r="V410" s="26">
        <f>IF(I410-Q410=0,"",IF(D410="",(P410+S410)/(I410-Q410),IF(AND(D410&lt;&gt;"",(P410+S410)/(I410-Q410)&gt;=50%),(P410+S410)/(I410-Q410),"")))</f>
      </c>
      <c r="W410" s="26">
        <f>IF(I410=O410,"",IF(V410="",0,(P410+Q410+S410-O410)/(I410-O410)))</f>
      </c>
      <c r="X410" s="30"/>
      <c r="Y410" s="30"/>
      <c r="Z410" s="30"/>
      <c r="AA410" s="30"/>
      <c r="AB410" s="34"/>
      <c r="AC410" s="30"/>
      <c r="AD410" s="30"/>
      <c r="AE410" s="30"/>
      <c r="AF410" s="30"/>
      <c r="AG410" s="30"/>
      <c r="AH410" s="30"/>
      <c r="AI410" s="30"/>
      <c r="AJ410" s="30"/>
      <c r="AK410" s="30"/>
      <c r="AL410" s="30"/>
      <c r="AM410" s="30"/>
      <c r="AN410" s="30"/>
      <c r="AO410" s="30"/>
    </row>
    <row r="411" spans="1:41" s="39" customFormat="1" ht="21" customHeight="1">
      <c r="A411" s="32"/>
      <c r="B411" s="107" t="s">
        <v>128</v>
      </c>
      <c r="C411" s="14" t="s">
        <v>2</v>
      </c>
      <c r="D411" s="29"/>
      <c r="E411" s="16" t="s">
        <v>27</v>
      </c>
      <c r="F411" s="15"/>
      <c r="G411" s="15"/>
      <c r="H411" s="15"/>
      <c r="I411" s="17"/>
      <c r="J411" s="15"/>
      <c r="K411" s="15"/>
      <c r="L411" s="15"/>
      <c r="M411" s="15"/>
      <c r="N411" s="15"/>
      <c r="O411" s="15"/>
      <c r="P411" s="15"/>
      <c r="Q411" s="15"/>
      <c r="R411" s="15"/>
      <c r="S411" s="15"/>
      <c r="T411" s="15"/>
      <c r="U411" s="15"/>
      <c r="V411" s="18"/>
      <c r="W411" s="18"/>
      <c r="X411" s="30"/>
      <c r="Y411" s="30"/>
      <c r="Z411" s="30"/>
      <c r="AA411" s="30"/>
      <c r="AB411" s="34"/>
      <c r="AC411" s="30"/>
      <c r="AD411" s="30"/>
      <c r="AE411" s="30"/>
      <c r="AF411" s="30"/>
      <c r="AG411" s="30"/>
      <c r="AH411" s="30"/>
      <c r="AI411" s="30"/>
      <c r="AJ411" s="30"/>
      <c r="AK411" s="30"/>
      <c r="AL411" s="30"/>
      <c r="AM411" s="30"/>
      <c r="AN411" s="30"/>
      <c r="AO411" s="30"/>
    </row>
    <row r="412" spans="1:41" s="39" customFormat="1" ht="18" customHeight="1">
      <c r="A412" s="32">
        <v>4</v>
      </c>
      <c r="B412" s="107"/>
      <c r="C412" s="20" t="str">
        <f>IF(A412="","VARA",VLOOKUP(A412,'[1]varas'!$A$4:$B$67,2))</f>
        <v>4ª VT Recife</v>
      </c>
      <c r="D412" s="29"/>
      <c r="E412" s="16"/>
      <c r="F412" s="15">
        <f>41+35+25+11</f>
        <v>112</v>
      </c>
      <c r="G412" s="15">
        <v>9</v>
      </c>
      <c r="H412" s="15">
        <v>8</v>
      </c>
      <c r="I412" s="17">
        <f>SUM(F412:H412)</f>
        <v>129</v>
      </c>
      <c r="J412" s="15">
        <v>45</v>
      </c>
      <c r="K412" s="15">
        <v>5</v>
      </c>
      <c r="L412" s="15">
        <v>25</v>
      </c>
      <c r="M412" s="15">
        <v>10</v>
      </c>
      <c r="N412" s="15">
        <v>1</v>
      </c>
      <c r="O412" s="15">
        <v>35</v>
      </c>
      <c r="P412" s="15">
        <f>SUM(J412:O412)</f>
        <v>121</v>
      </c>
      <c r="Q412" s="15">
        <v>1</v>
      </c>
      <c r="R412" s="15">
        <v>7</v>
      </c>
      <c r="S412" s="15">
        <v>0</v>
      </c>
      <c r="T412" s="15">
        <v>0</v>
      </c>
      <c r="U412" s="15">
        <v>216</v>
      </c>
      <c r="V412" s="18"/>
      <c r="W412" s="18"/>
      <c r="X412" s="30"/>
      <c r="Y412" s="30"/>
      <c r="Z412" s="30"/>
      <c r="AA412" s="30"/>
      <c r="AB412" s="34"/>
      <c r="AC412" s="30"/>
      <c r="AD412" s="30"/>
      <c r="AE412" s="30"/>
      <c r="AF412" s="30"/>
      <c r="AG412" s="30"/>
      <c r="AH412" s="30"/>
      <c r="AI412" s="30"/>
      <c r="AJ412" s="30"/>
      <c r="AK412" s="30"/>
      <c r="AL412" s="30"/>
      <c r="AM412" s="30"/>
      <c r="AN412" s="30"/>
      <c r="AO412" s="30"/>
    </row>
    <row r="413" spans="1:41" s="39" customFormat="1" ht="20.25" customHeight="1">
      <c r="A413" s="32"/>
      <c r="B413" s="107"/>
      <c r="C413" s="21" t="s">
        <v>12</v>
      </c>
      <c r="D413" s="33"/>
      <c r="E413" s="23"/>
      <c r="F413" s="24">
        <f>SUM(F411:F412)</f>
        <v>112</v>
      </c>
      <c r="G413" s="24">
        <f>SUM(G411:G412)</f>
        <v>9</v>
      </c>
      <c r="H413" s="24">
        <f>SUM(H411:H412)</f>
        <v>8</v>
      </c>
      <c r="I413" s="25">
        <f>SUM(F413:H413)</f>
        <v>129</v>
      </c>
      <c r="J413" s="24">
        <f aca="true" t="shared" si="123" ref="J413:O413">SUM(J411:J412)</f>
        <v>45</v>
      </c>
      <c r="K413" s="24">
        <f t="shared" si="123"/>
        <v>5</v>
      </c>
      <c r="L413" s="24">
        <f t="shared" si="123"/>
        <v>25</v>
      </c>
      <c r="M413" s="24">
        <f t="shared" si="123"/>
        <v>10</v>
      </c>
      <c r="N413" s="24">
        <f t="shared" si="123"/>
        <v>1</v>
      </c>
      <c r="O413" s="24">
        <f t="shared" si="123"/>
        <v>35</v>
      </c>
      <c r="P413" s="24">
        <f>SUM(J413:O413)</f>
        <v>121</v>
      </c>
      <c r="Q413" s="24">
        <f>SUM(Q411:Q412)</f>
        <v>1</v>
      </c>
      <c r="R413" s="24">
        <f>SUM(R411:R412)</f>
        <v>7</v>
      </c>
      <c r="S413" s="24">
        <f>SUM(S411:S412)</f>
        <v>0</v>
      </c>
      <c r="T413" s="24">
        <f>SUM(T411:T412)</f>
        <v>0</v>
      </c>
      <c r="U413" s="24">
        <f>SUM(U411:U412)</f>
        <v>216</v>
      </c>
      <c r="V413" s="26">
        <f>IF(I413-Q413=0,"",IF(D413="",(P413+S413)/(I413-Q413),IF(AND(D413&lt;&gt;"",(P413+S413)/(I413-Q413)&gt;=50%),(P413+S413)/(I413-Q413),"")))</f>
        <v>0.9453125</v>
      </c>
      <c r="W413" s="26">
        <f>IF(I413=O413,"",IF(V413="",0,(P413+Q413+S413-O413)/(I413-O413)))</f>
        <v>0.925531914893617</v>
      </c>
      <c r="X413" s="30"/>
      <c r="Y413" s="30"/>
      <c r="Z413" s="30"/>
      <c r="AA413" s="30"/>
      <c r="AB413" s="34"/>
      <c r="AC413" s="30"/>
      <c r="AD413" s="30"/>
      <c r="AE413" s="30"/>
      <c r="AF413" s="30"/>
      <c r="AG413" s="30"/>
      <c r="AH413" s="30"/>
      <c r="AI413" s="30"/>
      <c r="AJ413" s="30"/>
      <c r="AK413" s="30"/>
      <c r="AL413" s="30"/>
      <c r="AM413" s="30"/>
      <c r="AN413" s="30"/>
      <c r="AO413" s="30"/>
    </row>
    <row r="414" spans="1:41" s="39" customFormat="1" ht="20.25" customHeight="1">
      <c r="A414" s="32"/>
      <c r="B414" s="107" t="s">
        <v>129</v>
      </c>
      <c r="C414" s="14" t="s">
        <v>2</v>
      </c>
      <c r="D414" s="15" t="s">
        <v>30</v>
      </c>
      <c r="E414" s="16" t="s">
        <v>206</v>
      </c>
      <c r="F414" s="15"/>
      <c r="G414" s="15"/>
      <c r="H414" s="15"/>
      <c r="I414" s="17"/>
      <c r="J414" s="15"/>
      <c r="K414" s="15"/>
      <c r="L414" s="15"/>
      <c r="M414" s="15"/>
      <c r="N414" s="15"/>
      <c r="O414" s="15"/>
      <c r="P414" s="15"/>
      <c r="Q414" s="15"/>
      <c r="R414" s="15"/>
      <c r="S414" s="15"/>
      <c r="T414" s="15"/>
      <c r="U414" s="15"/>
      <c r="V414" s="18"/>
      <c r="W414" s="18"/>
      <c r="X414" s="30"/>
      <c r="Y414" s="30"/>
      <c r="Z414" s="30"/>
      <c r="AA414" s="30"/>
      <c r="AB414" s="34"/>
      <c r="AC414" s="30"/>
      <c r="AD414" s="30"/>
      <c r="AE414" s="30"/>
      <c r="AF414" s="30"/>
      <c r="AG414" s="30"/>
      <c r="AH414" s="30"/>
      <c r="AI414" s="30"/>
      <c r="AJ414" s="30"/>
      <c r="AK414" s="30"/>
      <c r="AL414" s="30"/>
      <c r="AM414" s="30"/>
      <c r="AN414" s="30"/>
      <c r="AO414" s="30"/>
    </row>
    <row r="415" spans="1:41" s="39" customFormat="1" ht="21" customHeight="1">
      <c r="A415" s="32">
        <v>7</v>
      </c>
      <c r="B415" s="107"/>
      <c r="C415" s="20" t="str">
        <f>IF(A415="","VARA",VLOOKUP(A415,'[1]varas'!$A$4:$B$67,2))</f>
        <v>7ª VT Recife</v>
      </c>
      <c r="D415" s="15"/>
      <c r="E415" s="16"/>
      <c r="F415" s="15">
        <f>47+21+22</f>
        <v>90</v>
      </c>
      <c r="G415" s="15">
        <v>21</v>
      </c>
      <c r="H415" s="15">
        <v>0</v>
      </c>
      <c r="I415" s="17">
        <f>SUM(F415:H415)</f>
        <v>111</v>
      </c>
      <c r="J415" s="15">
        <v>53</v>
      </c>
      <c r="K415" s="15">
        <v>15</v>
      </c>
      <c r="L415" s="15">
        <v>22</v>
      </c>
      <c r="M415" s="15">
        <v>0</v>
      </c>
      <c r="N415" s="15">
        <v>0</v>
      </c>
      <c r="O415" s="15">
        <v>21</v>
      </c>
      <c r="P415" s="15">
        <f>SUM(J415:O415)</f>
        <v>111</v>
      </c>
      <c r="Q415" s="15">
        <v>0</v>
      </c>
      <c r="R415" s="15">
        <v>0</v>
      </c>
      <c r="S415" s="15">
        <v>0</v>
      </c>
      <c r="T415" s="15">
        <v>0</v>
      </c>
      <c r="U415" s="15">
        <v>157</v>
      </c>
      <c r="V415" s="18"/>
      <c r="W415" s="18"/>
      <c r="X415" s="30"/>
      <c r="Y415" s="30"/>
      <c r="Z415" s="30"/>
      <c r="AA415" s="30"/>
      <c r="AB415" s="34"/>
      <c r="AC415" s="30"/>
      <c r="AD415" s="30"/>
      <c r="AE415" s="30"/>
      <c r="AF415" s="30"/>
      <c r="AG415" s="30"/>
      <c r="AH415" s="30"/>
      <c r="AI415" s="30"/>
      <c r="AJ415" s="30"/>
      <c r="AK415" s="30"/>
      <c r="AL415" s="30"/>
      <c r="AM415" s="30"/>
      <c r="AN415" s="30"/>
      <c r="AO415" s="30"/>
    </row>
    <row r="416" spans="1:41" s="39" customFormat="1" ht="18.75" customHeight="1">
      <c r="A416" s="32"/>
      <c r="B416" s="107"/>
      <c r="C416" s="21" t="s">
        <v>12</v>
      </c>
      <c r="D416" s="33"/>
      <c r="E416" s="23"/>
      <c r="F416" s="24">
        <f>SUM(F414:F415)</f>
        <v>90</v>
      </c>
      <c r="G416" s="24">
        <f>SUM(G414:G415)</f>
        <v>21</v>
      </c>
      <c r="H416" s="24">
        <f>SUM(H414:H415)</f>
        <v>0</v>
      </c>
      <c r="I416" s="40">
        <f>SUM(F416:H416)</f>
        <v>111</v>
      </c>
      <c r="J416" s="24">
        <f aca="true" t="shared" si="124" ref="J416:O416">SUM(J414:J415)</f>
        <v>53</v>
      </c>
      <c r="K416" s="24">
        <f t="shared" si="124"/>
        <v>15</v>
      </c>
      <c r="L416" s="24">
        <f t="shared" si="124"/>
        <v>22</v>
      </c>
      <c r="M416" s="24">
        <f t="shared" si="124"/>
        <v>0</v>
      </c>
      <c r="N416" s="24">
        <f t="shared" si="124"/>
        <v>0</v>
      </c>
      <c r="O416" s="24">
        <f t="shared" si="124"/>
        <v>21</v>
      </c>
      <c r="P416" s="24">
        <f>SUM(J416:O416)</f>
        <v>111</v>
      </c>
      <c r="Q416" s="24">
        <f>SUM(Q414:Q415)</f>
        <v>0</v>
      </c>
      <c r="R416" s="24">
        <f>SUM(R414:R415)</f>
        <v>0</v>
      </c>
      <c r="S416" s="24">
        <f>SUM(S414:S415)</f>
        <v>0</v>
      </c>
      <c r="T416" s="24">
        <f>SUM(T414:T415)</f>
        <v>0</v>
      </c>
      <c r="U416" s="24">
        <f>SUM(U414:U415)</f>
        <v>157</v>
      </c>
      <c r="V416" s="26">
        <f>IF(I416-Q416=0,"",IF(D416="",(P416+S416)/(I416-Q416),IF(AND(D416&lt;&gt;"",(P416+S416)/(I416-Q416)&gt;=50%),(P416+S416)/(I416-Q416),"")))</f>
        <v>1</v>
      </c>
      <c r="W416" s="26">
        <f>IF(I416=O416,"",IF(V416="",0,(P416+Q416+S416-O416)/(I416-O416)))</f>
        <v>1</v>
      </c>
      <c r="X416" s="30"/>
      <c r="Y416" s="30"/>
      <c r="Z416" s="30"/>
      <c r="AA416" s="30"/>
      <c r="AB416" s="34"/>
      <c r="AC416" s="30"/>
      <c r="AD416" s="30"/>
      <c r="AE416" s="30"/>
      <c r="AF416" s="30"/>
      <c r="AG416" s="30"/>
      <c r="AH416" s="30"/>
      <c r="AI416" s="30"/>
      <c r="AJ416" s="30"/>
      <c r="AK416" s="30"/>
      <c r="AL416" s="30"/>
      <c r="AM416" s="30"/>
      <c r="AN416" s="30"/>
      <c r="AO416" s="30"/>
    </row>
    <row r="417" spans="1:41" s="39" customFormat="1" ht="24.75" customHeight="1">
      <c r="A417" s="32"/>
      <c r="B417" s="107" t="s">
        <v>130</v>
      </c>
      <c r="C417" s="14" t="s">
        <v>2</v>
      </c>
      <c r="D417" s="15" t="s">
        <v>30</v>
      </c>
      <c r="E417" s="16" t="s">
        <v>217</v>
      </c>
      <c r="F417" s="15"/>
      <c r="G417" s="15"/>
      <c r="H417" s="15"/>
      <c r="I417" s="17"/>
      <c r="J417" s="15"/>
      <c r="K417" s="15"/>
      <c r="L417" s="15"/>
      <c r="M417" s="15"/>
      <c r="N417" s="15"/>
      <c r="O417" s="15"/>
      <c r="P417" s="15"/>
      <c r="Q417" s="15"/>
      <c r="R417" s="15"/>
      <c r="S417" s="15"/>
      <c r="T417" s="15"/>
      <c r="U417" s="15"/>
      <c r="V417" s="18"/>
      <c r="W417" s="18"/>
      <c r="X417" s="30"/>
      <c r="Y417" s="30"/>
      <c r="Z417" s="30"/>
      <c r="AA417" s="30"/>
      <c r="AB417" s="34"/>
      <c r="AC417" s="30"/>
      <c r="AD417" s="30"/>
      <c r="AE417" s="30"/>
      <c r="AF417" s="30"/>
      <c r="AG417" s="30"/>
      <c r="AH417" s="30"/>
      <c r="AI417" s="30"/>
      <c r="AJ417" s="30"/>
      <c r="AK417" s="30"/>
      <c r="AL417" s="30"/>
      <c r="AM417" s="30"/>
      <c r="AN417" s="30"/>
      <c r="AO417" s="30"/>
    </row>
    <row r="418" spans="1:41" s="39" customFormat="1" ht="23.25" customHeight="1">
      <c r="A418" s="32">
        <v>18</v>
      </c>
      <c r="B418" s="107"/>
      <c r="C418" s="20" t="str">
        <f>IF(A418="","VARA",VLOOKUP(A418,'[1]varas'!$A$4:$B$67,2))</f>
        <v>18ª VT Recife</v>
      </c>
      <c r="D418" s="15"/>
      <c r="E418" s="16"/>
      <c r="F418" s="15">
        <f>36+26+9</f>
        <v>71</v>
      </c>
      <c r="G418" s="15">
        <v>0</v>
      </c>
      <c r="H418" s="15">
        <v>74</v>
      </c>
      <c r="I418" s="17">
        <f>SUM(F418:H418)</f>
        <v>145</v>
      </c>
      <c r="J418" s="15">
        <v>21</v>
      </c>
      <c r="K418" s="15">
        <v>8</v>
      </c>
      <c r="L418" s="15">
        <v>9</v>
      </c>
      <c r="M418" s="15">
        <v>0</v>
      </c>
      <c r="N418" s="15">
        <v>0</v>
      </c>
      <c r="O418" s="15">
        <v>26</v>
      </c>
      <c r="P418" s="15">
        <f>SUM(J418:O418)</f>
        <v>64</v>
      </c>
      <c r="Q418" s="15">
        <v>0</v>
      </c>
      <c r="R418" s="15">
        <v>81</v>
      </c>
      <c r="S418" s="15">
        <v>0</v>
      </c>
      <c r="T418" s="15">
        <v>0</v>
      </c>
      <c r="U418" s="15">
        <v>97</v>
      </c>
      <c r="V418" s="18"/>
      <c r="W418" s="18"/>
      <c r="X418" s="30"/>
      <c r="Y418" s="30"/>
      <c r="Z418" s="30"/>
      <c r="AA418" s="30"/>
      <c r="AB418" s="34"/>
      <c r="AC418" s="30"/>
      <c r="AD418" s="30"/>
      <c r="AE418" s="30"/>
      <c r="AF418" s="30"/>
      <c r="AG418" s="30"/>
      <c r="AH418" s="30"/>
      <c r="AI418" s="30"/>
      <c r="AJ418" s="30"/>
      <c r="AK418" s="30"/>
      <c r="AL418" s="30"/>
      <c r="AM418" s="30"/>
      <c r="AN418" s="30"/>
      <c r="AO418" s="30"/>
    </row>
    <row r="419" spans="1:41" s="39" customFormat="1" ht="19.5" customHeight="1">
      <c r="A419" s="32"/>
      <c r="B419" s="107"/>
      <c r="C419" s="21" t="s">
        <v>12</v>
      </c>
      <c r="D419" s="33"/>
      <c r="E419" s="23"/>
      <c r="F419" s="24">
        <f>SUM(F417:F418)</f>
        <v>71</v>
      </c>
      <c r="G419" s="24">
        <f>SUM(G417:G418)</f>
        <v>0</v>
      </c>
      <c r="H419" s="24">
        <f>SUM(H417:H418)</f>
        <v>74</v>
      </c>
      <c r="I419" s="25">
        <f>SUM(F419:H419)</f>
        <v>145</v>
      </c>
      <c r="J419" s="24">
        <f aca="true" t="shared" si="125" ref="J419:O419">SUM(J417:J418)</f>
        <v>21</v>
      </c>
      <c r="K419" s="24">
        <f t="shared" si="125"/>
        <v>8</v>
      </c>
      <c r="L419" s="24">
        <f t="shared" si="125"/>
        <v>9</v>
      </c>
      <c r="M419" s="24">
        <f t="shared" si="125"/>
        <v>0</v>
      </c>
      <c r="N419" s="24">
        <f t="shared" si="125"/>
        <v>0</v>
      </c>
      <c r="O419" s="24">
        <f t="shared" si="125"/>
        <v>26</v>
      </c>
      <c r="P419" s="24">
        <f>SUM(J419:O419)</f>
        <v>64</v>
      </c>
      <c r="Q419" s="24">
        <f>SUM(Q417:Q418)</f>
        <v>0</v>
      </c>
      <c r="R419" s="24">
        <f>SUM(R417:R418)</f>
        <v>81</v>
      </c>
      <c r="S419" s="24">
        <f>SUM(S417:S418)</f>
        <v>0</v>
      </c>
      <c r="T419" s="24">
        <f>SUM(T417:T418)</f>
        <v>0</v>
      </c>
      <c r="U419" s="24">
        <f>SUM(U417:U418)</f>
        <v>97</v>
      </c>
      <c r="V419" s="26">
        <f>IF(I419-Q419=0,"",IF(D419="",(P419+S419)/(I419-Q419),IF(AND(D419&lt;&gt;"",(P419+S419)/(I419-Q419)&gt;=50%),(P419+S419)/(I419-Q419),"")))</f>
        <v>0.4413793103448276</v>
      </c>
      <c r="W419" s="26">
        <f>IF(I419=O419,"",IF(V419="",0,(P419+Q419+S419-O419)/(I419-O419)))</f>
        <v>0.31932773109243695</v>
      </c>
      <c r="X419" s="30"/>
      <c r="Y419" s="30"/>
      <c r="Z419" s="30"/>
      <c r="AA419" s="30"/>
      <c r="AB419" s="34"/>
      <c r="AC419" s="30"/>
      <c r="AD419" s="30"/>
      <c r="AE419" s="30"/>
      <c r="AF419" s="30"/>
      <c r="AG419" s="30"/>
      <c r="AH419" s="30"/>
      <c r="AI419" s="30"/>
      <c r="AJ419" s="30"/>
      <c r="AK419" s="30"/>
      <c r="AL419" s="30"/>
      <c r="AM419" s="30"/>
      <c r="AN419" s="30"/>
      <c r="AO419" s="30"/>
    </row>
    <row r="420" spans="1:41" s="39" customFormat="1" ht="22.5" customHeight="1">
      <c r="A420" s="32"/>
      <c r="B420" s="107" t="s">
        <v>131</v>
      </c>
      <c r="C420" s="14" t="s">
        <v>2</v>
      </c>
      <c r="D420" s="29" t="s">
        <v>30</v>
      </c>
      <c r="E420" s="16" t="s">
        <v>201</v>
      </c>
      <c r="F420" s="15"/>
      <c r="G420" s="15"/>
      <c r="H420" s="15"/>
      <c r="I420" s="17"/>
      <c r="J420" s="15"/>
      <c r="K420" s="15"/>
      <c r="L420" s="15"/>
      <c r="M420" s="15"/>
      <c r="N420" s="15"/>
      <c r="O420" s="15"/>
      <c r="P420" s="15"/>
      <c r="Q420" s="15"/>
      <c r="R420" s="15"/>
      <c r="S420" s="15"/>
      <c r="T420" s="15"/>
      <c r="U420" s="15"/>
      <c r="V420" s="18"/>
      <c r="W420" s="18"/>
      <c r="X420" s="30"/>
      <c r="Y420" s="30"/>
      <c r="Z420" s="30"/>
      <c r="AA420" s="30"/>
      <c r="AB420" s="34"/>
      <c r="AC420" s="30"/>
      <c r="AD420" s="30"/>
      <c r="AE420" s="30"/>
      <c r="AF420" s="30"/>
      <c r="AG420" s="30"/>
      <c r="AH420" s="30"/>
      <c r="AI420" s="30"/>
      <c r="AJ420" s="30"/>
      <c r="AK420" s="30"/>
      <c r="AL420" s="30"/>
      <c r="AM420" s="30"/>
      <c r="AN420" s="30"/>
      <c r="AO420" s="30"/>
    </row>
    <row r="421" spans="1:41" s="39" customFormat="1" ht="20.25" customHeight="1">
      <c r="A421" s="32">
        <v>23</v>
      </c>
      <c r="B421" s="107"/>
      <c r="C421" s="20" t="str">
        <f>IF(A421="","VARA",VLOOKUP(A421,'[1]varas'!$A$4:$B$67,2))</f>
        <v>23ª VT Recife</v>
      </c>
      <c r="D421" s="29"/>
      <c r="E421" s="16"/>
      <c r="F421" s="15">
        <v>0</v>
      </c>
      <c r="G421" s="15">
        <v>7</v>
      </c>
      <c r="H421" s="15">
        <v>20</v>
      </c>
      <c r="I421" s="17">
        <f>SUM(F421:H421)</f>
        <v>27</v>
      </c>
      <c r="J421" s="15">
        <v>10</v>
      </c>
      <c r="K421" s="15">
        <v>0</v>
      </c>
      <c r="L421" s="15">
        <v>0</v>
      </c>
      <c r="M421" s="15">
        <v>0</v>
      </c>
      <c r="N421" s="15">
        <v>0</v>
      </c>
      <c r="O421" s="15">
        <v>0</v>
      </c>
      <c r="P421" s="15">
        <f>SUM(J421:O421)</f>
        <v>10</v>
      </c>
      <c r="Q421" s="15">
        <v>7</v>
      </c>
      <c r="R421" s="15">
        <v>10</v>
      </c>
      <c r="S421" s="15">
        <v>0</v>
      </c>
      <c r="T421" s="15">
        <v>0</v>
      </c>
      <c r="U421" s="15">
        <v>0</v>
      </c>
      <c r="V421" s="18"/>
      <c r="W421" s="18"/>
      <c r="X421" s="30"/>
      <c r="Y421" s="30"/>
      <c r="Z421" s="30"/>
      <c r="AA421" s="30"/>
      <c r="AB421" s="34"/>
      <c r="AC421" s="30"/>
      <c r="AD421" s="30"/>
      <c r="AE421" s="30"/>
      <c r="AF421" s="30"/>
      <c r="AG421" s="30"/>
      <c r="AH421" s="30"/>
      <c r="AI421" s="30"/>
      <c r="AJ421" s="30"/>
      <c r="AK421" s="30"/>
      <c r="AL421" s="30"/>
      <c r="AM421" s="30"/>
      <c r="AN421" s="30"/>
      <c r="AO421" s="30"/>
    </row>
    <row r="422" spans="1:41" s="39" customFormat="1" ht="18.75" customHeight="1">
      <c r="A422" s="32"/>
      <c r="B422" s="107"/>
      <c r="C422" s="21" t="s">
        <v>12</v>
      </c>
      <c r="D422" s="33"/>
      <c r="E422" s="23"/>
      <c r="F422" s="24">
        <f>SUM(F420:F421)</f>
        <v>0</v>
      </c>
      <c r="G422" s="24">
        <f>SUM(G420:G421)</f>
        <v>7</v>
      </c>
      <c r="H422" s="24">
        <f>SUM(H420:H421)</f>
        <v>20</v>
      </c>
      <c r="I422" s="40">
        <f>SUM(F422:H422)</f>
        <v>27</v>
      </c>
      <c r="J422" s="24">
        <f aca="true" t="shared" si="126" ref="J422:O422">SUM(J420:J421)</f>
        <v>10</v>
      </c>
      <c r="K422" s="24">
        <f t="shared" si="126"/>
        <v>0</v>
      </c>
      <c r="L422" s="24">
        <f t="shared" si="126"/>
        <v>0</v>
      </c>
      <c r="M422" s="24">
        <f t="shared" si="126"/>
        <v>0</v>
      </c>
      <c r="N422" s="24">
        <f t="shared" si="126"/>
        <v>0</v>
      </c>
      <c r="O422" s="24">
        <f t="shared" si="126"/>
        <v>0</v>
      </c>
      <c r="P422" s="24">
        <f>SUM(J422:O422)</f>
        <v>10</v>
      </c>
      <c r="Q422" s="24">
        <f>SUM(Q420:Q421)</f>
        <v>7</v>
      </c>
      <c r="R422" s="24">
        <f>SUM(R420:R421)</f>
        <v>10</v>
      </c>
      <c r="S422" s="24">
        <f>SUM(S420:S421)</f>
        <v>0</v>
      </c>
      <c r="T422" s="24">
        <f>SUM(T420:T421)</f>
        <v>0</v>
      </c>
      <c r="U422" s="24">
        <f>SUM(U420:U421)</f>
        <v>0</v>
      </c>
      <c r="V422" s="26">
        <f>IF(I422-Q422=0,"",IF(D422="",(P422+S422)/(I422-Q422),IF(AND(D422&lt;&gt;"",(P422+S422)/(I422-Q422)&gt;=50%),(P422+S422)/(I422-Q422),"")))</f>
        <v>0.5</v>
      </c>
      <c r="W422" s="26">
        <f>IF(I422=O422,"",IF(V422="",0,(P422+Q422+S422-O422)/(I422-O422)))</f>
        <v>0.6296296296296297</v>
      </c>
      <c r="X422" s="30"/>
      <c r="Y422" s="30"/>
      <c r="Z422" s="30"/>
      <c r="AA422" s="30"/>
      <c r="AB422" s="34"/>
      <c r="AC422" s="30"/>
      <c r="AD422" s="30"/>
      <c r="AE422" s="30"/>
      <c r="AF422" s="30"/>
      <c r="AG422" s="30"/>
      <c r="AH422" s="30"/>
      <c r="AI422" s="30"/>
      <c r="AJ422" s="30"/>
      <c r="AK422" s="30"/>
      <c r="AL422" s="30"/>
      <c r="AM422" s="30"/>
      <c r="AN422" s="30"/>
      <c r="AO422" s="30"/>
    </row>
    <row r="423" spans="1:41" s="39" customFormat="1" ht="26.25" customHeight="1">
      <c r="A423" s="32"/>
      <c r="B423" s="107" t="s">
        <v>132</v>
      </c>
      <c r="C423" s="14" t="s">
        <v>2</v>
      </c>
      <c r="D423" s="15"/>
      <c r="E423" s="16" t="s">
        <v>27</v>
      </c>
      <c r="F423" s="15"/>
      <c r="G423" s="15"/>
      <c r="H423" s="15"/>
      <c r="I423" s="17"/>
      <c r="J423" s="15"/>
      <c r="K423" s="15"/>
      <c r="L423" s="15"/>
      <c r="M423" s="15"/>
      <c r="N423" s="15"/>
      <c r="O423" s="15"/>
      <c r="P423" s="15"/>
      <c r="Q423" s="15"/>
      <c r="R423" s="15"/>
      <c r="S423" s="15"/>
      <c r="T423" s="15"/>
      <c r="U423" s="15"/>
      <c r="V423" s="18"/>
      <c r="W423" s="18"/>
      <c r="X423" s="30"/>
      <c r="Y423" s="30"/>
      <c r="Z423" s="30"/>
      <c r="AA423" s="30"/>
      <c r="AB423" s="34"/>
      <c r="AC423" s="30"/>
      <c r="AD423" s="30"/>
      <c r="AE423" s="30"/>
      <c r="AF423" s="30"/>
      <c r="AG423" s="30"/>
      <c r="AH423" s="30"/>
      <c r="AI423" s="30"/>
      <c r="AJ423" s="30"/>
      <c r="AK423" s="30"/>
      <c r="AL423" s="30"/>
      <c r="AM423" s="30"/>
      <c r="AN423" s="30"/>
      <c r="AO423" s="30"/>
    </row>
    <row r="424" spans="1:41" s="39" customFormat="1" ht="18" customHeight="1">
      <c r="A424" s="32">
        <v>9</v>
      </c>
      <c r="B424" s="107"/>
      <c r="C424" s="20" t="str">
        <f>IF(A424="","VARA",VLOOKUP(A424,'[1]varas'!$A$4:$B$67,2))</f>
        <v>9ª VT Recife</v>
      </c>
      <c r="D424" s="15"/>
      <c r="E424" s="16"/>
      <c r="F424" s="15">
        <f>52+41+30+14+3</f>
        <v>140</v>
      </c>
      <c r="G424" s="15">
        <v>0</v>
      </c>
      <c r="H424" s="15">
        <v>39</v>
      </c>
      <c r="I424" s="17">
        <f>SUM(F424:H424)</f>
        <v>179</v>
      </c>
      <c r="J424" s="15">
        <v>63</v>
      </c>
      <c r="K424" s="15">
        <v>4</v>
      </c>
      <c r="L424" s="15">
        <v>30</v>
      </c>
      <c r="M424" s="15">
        <v>14</v>
      </c>
      <c r="N424" s="15">
        <v>3</v>
      </c>
      <c r="O424" s="15">
        <v>41</v>
      </c>
      <c r="P424" s="15">
        <f>SUM(J424:O424)</f>
        <v>155</v>
      </c>
      <c r="Q424" s="15">
        <v>4</v>
      </c>
      <c r="R424" s="15">
        <v>20</v>
      </c>
      <c r="S424" s="15">
        <v>0</v>
      </c>
      <c r="T424" s="15">
        <v>0</v>
      </c>
      <c r="U424" s="15">
        <v>190</v>
      </c>
      <c r="V424" s="18"/>
      <c r="W424" s="18"/>
      <c r="X424" s="30"/>
      <c r="Y424" s="30"/>
      <c r="Z424" s="30"/>
      <c r="AA424" s="30"/>
      <c r="AB424" s="34"/>
      <c r="AC424" s="30"/>
      <c r="AD424" s="30"/>
      <c r="AE424" s="30"/>
      <c r="AF424" s="30"/>
      <c r="AG424" s="30"/>
      <c r="AH424" s="30"/>
      <c r="AI424" s="30"/>
      <c r="AJ424" s="30"/>
      <c r="AK424" s="30"/>
      <c r="AL424" s="30"/>
      <c r="AM424" s="30"/>
      <c r="AN424" s="30"/>
      <c r="AO424" s="30"/>
    </row>
    <row r="425" spans="1:41" s="39" customFormat="1" ht="18.75" customHeight="1">
      <c r="A425" s="32"/>
      <c r="B425" s="107"/>
      <c r="C425" s="21" t="s">
        <v>12</v>
      </c>
      <c r="D425" s="33"/>
      <c r="E425" s="23"/>
      <c r="F425" s="24">
        <f>SUM(F423:F424)</f>
        <v>140</v>
      </c>
      <c r="G425" s="24">
        <f>SUM(G423:G424)</f>
        <v>0</v>
      </c>
      <c r="H425" s="24">
        <f>SUM(H423:H424)</f>
        <v>39</v>
      </c>
      <c r="I425" s="25">
        <f>SUM(F425:H425)</f>
        <v>179</v>
      </c>
      <c r="J425" s="24">
        <f aca="true" t="shared" si="127" ref="J425:O425">SUM(J423:J424)</f>
        <v>63</v>
      </c>
      <c r="K425" s="24">
        <f t="shared" si="127"/>
        <v>4</v>
      </c>
      <c r="L425" s="24">
        <f t="shared" si="127"/>
        <v>30</v>
      </c>
      <c r="M425" s="24">
        <f t="shared" si="127"/>
        <v>14</v>
      </c>
      <c r="N425" s="24">
        <f t="shared" si="127"/>
        <v>3</v>
      </c>
      <c r="O425" s="24">
        <f t="shared" si="127"/>
        <v>41</v>
      </c>
      <c r="P425" s="24">
        <f>SUM(J425:O425)</f>
        <v>155</v>
      </c>
      <c r="Q425" s="24">
        <f>SUM(Q423:Q424)</f>
        <v>4</v>
      </c>
      <c r="R425" s="24">
        <f>SUM(R423:R424)</f>
        <v>20</v>
      </c>
      <c r="S425" s="24">
        <f>SUM(S423:S424)</f>
        <v>0</v>
      </c>
      <c r="T425" s="24">
        <f>SUM(T423:T424)</f>
        <v>0</v>
      </c>
      <c r="U425" s="24">
        <f>SUM(U423:U424)</f>
        <v>190</v>
      </c>
      <c r="V425" s="26">
        <f>IF(I425-Q425=0,"",IF(D425="",(P425+S425)/(I425-Q425),IF(AND(D425&lt;&gt;"",(P425+S425)/(I425-Q425)&gt;=50%),(P425+S425)/(I425-Q425),"")))</f>
        <v>0.8857142857142857</v>
      </c>
      <c r="W425" s="26">
        <f>IF(I425=O425,"",IF(V425="",0,(P425+Q425+S425-O425)/(I425-O425)))</f>
        <v>0.855072463768116</v>
      </c>
      <c r="X425" s="30"/>
      <c r="Y425" s="30"/>
      <c r="Z425" s="30"/>
      <c r="AA425" s="30"/>
      <c r="AB425" s="34"/>
      <c r="AC425" s="30"/>
      <c r="AD425" s="30"/>
      <c r="AE425" s="30"/>
      <c r="AF425" s="30"/>
      <c r="AG425" s="30"/>
      <c r="AH425" s="30"/>
      <c r="AI425" s="30"/>
      <c r="AJ425" s="30"/>
      <c r="AK425" s="30"/>
      <c r="AL425" s="30"/>
      <c r="AM425" s="30"/>
      <c r="AN425" s="30"/>
      <c r="AO425" s="30"/>
    </row>
    <row r="426" spans="1:41" s="39" customFormat="1" ht="22.5" customHeight="1">
      <c r="A426" s="32"/>
      <c r="B426" s="107" t="s">
        <v>133</v>
      </c>
      <c r="C426" s="20" t="s">
        <v>2</v>
      </c>
      <c r="D426" s="15"/>
      <c r="E426" s="16" t="s">
        <v>27</v>
      </c>
      <c r="F426" s="15"/>
      <c r="G426" s="15"/>
      <c r="H426" s="15"/>
      <c r="I426" s="17"/>
      <c r="J426" s="15"/>
      <c r="K426" s="15"/>
      <c r="L426" s="15"/>
      <c r="M426" s="15"/>
      <c r="N426" s="15"/>
      <c r="O426" s="15"/>
      <c r="P426" s="15"/>
      <c r="Q426" s="15"/>
      <c r="R426" s="15"/>
      <c r="S426" s="15"/>
      <c r="T426" s="15"/>
      <c r="U426" s="15"/>
      <c r="V426" s="18"/>
      <c r="W426" s="18"/>
      <c r="X426" s="30"/>
      <c r="Y426" s="30"/>
      <c r="Z426" s="30"/>
      <c r="AA426" s="30"/>
      <c r="AB426" s="34"/>
      <c r="AC426" s="30"/>
      <c r="AD426" s="30"/>
      <c r="AE426" s="30"/>
      <c r="AF426" s="30"/>
      <c r="AG426" s="30"/>
      <c r="AH426" s="30"/>
      <c r="AI426" s="30"/>
      <c r="AJ426" s="30"/>
      <c r="AK426" s="30"/>
      <c r="AL426" s="30"/>
      <c r="AM426" s="30"/>
      <c r="AN426" s="30"/>
      <c r="AO426" s="30"/>
    </row>
    <row r="427" spans="1:41" s="39" customFormat="1" ht="20.25" customHeight="1">
      <c r="A427" s="32">
        <v>20</v>
      </c>
      <c r="B427" s="107"/>
      <c r="C427" s="20" t="str">
        <f>IF(A427="","VARA",VLOOKUP(A427,'[1]varas'!$A$4:$B$67,2))</f>
        <v>20ª VT Recife</v>
      </c>
      <c r="D427" s="15"/>
      <c r="E427" s="16"/>
      <c r="F427" s="15">
        <f>58+40+25+2</f>
        <v>125</v>
      </c>
      <c r="G427" s="15">
        <v>0</v>
      </c>
      <c r="H427" s="15">
        <v>0</v>
      </c>
      <c r="I427" s="17">
        <f>SUM(F427:H427)</f>
        <v>125</v>
      </c>
      <c r="J427" s="15">
        <v>41</v>
      </c>
      <c r="K427" s="15">
        <v>17</v>
      </c>
      <c r="L427" s="15">
        <v>25</v>
      </c>
      <c r="M427" s="15">
        <v>2</v>
      </c>
      <c r="N427" s="15">
        <v>0</v>
      </c>
      <c r="O427" s="15">
        <v>40</v>
      </c>
      <c r="P427" s="15">
        <f>SUM(J427:O427)</f>
        <v>125</v>
      </c>
      <c r="Q427" s="15">
        <v>0</v>
      </c>
      <c r="R427" s="15">
        <v>0</v>
      </c>
      <c r="S427" s="15">
        <v>0</v>
      </c>
      <c r="T427" s="15">
        <v>0</v>
      </c>
      <c r="U427" s="15">
        <v>149</v>
      </c>
      <c r="V427" s="18"/>
      <c r="W427" s="18"/>
      <c r="X427" s="30"/>
      <c r="Y427" s="30"/>
      <c r="Z427" s="30"/>
      <c r="AA427" s="30"/>
      <c r="AB427" s="34"/>
      <c r="AC427" s="30"/>
      <c r="AD427" s="30"/>
      <c r="AE427" s="30"/>
      <c r="AF427" s="30"/>
      <c r="AG427" s="30"/>
      <c r="AH427" s="30"/>
      <c r="AI427" s="30"/>
      <c r="AJ427" s="30"/>
      <c r="AK427" s="30"/>
      <c r="AL427" s="30"/>
      <c r="AM427" s="30"/>
      <c r="AN427" s="30"/>
      <c r="AO427" s="30"/>
    </row>
    <row r="428" spans="1:41" s="39" customFormat="1" ht="22.5" customHeight="1">
      <c r="A428" s="32"/>
      <c r="B428" s="107"/>
      <c r="C428" s="21" t="s">
        <v>12</v>
      </c>
      <c r="D428" s="33"/>
      <c r="E428" s="23"/>
      <c r="F428" s="24">
        <f>SUM(F426:F427)</f>
        <v>125</v>
      </c>
      <c r="G428" s="24">
        <f>SUM(G426:G427)</f>
        <v>0</v>
      </c>
      <c r="H428" s="24">
        <f>SUM(H426:H427)</f>
        <v>0</v>
      </c>
      <c r="I428" s="40">
        <f>SUM(F428:H428)</f>
        <v>125</v>
      </c>
      <c r="J428" s="24">
        <f aca="true" t="shared" si="128" ref="J428:O428">SUM(J426:J427)</f>
        <v>41</v>
      </c>
      <c r="K428" s="24">
        <f t="shared" si="128"/>
        <v>17</v>
      </c>
      <c r="L428" s="24">
        <f t="shared" si="128"/>
        <v>25</v>
      </c>
      <c r="M428" s="24">
        <f t="shared" si="128"/>
        <v>2</v>
      </c>
      <c r="N428" s="24">
        <f t="shared" si="128"/>
        <v>0</v>
      </c>
      <c r="O428" s="24">
        <f t="shared" si="128"/>
        <v>40</v>
      </c>
      <c r="P428" s="24">
        <f>SUM(J428:O428)</f>
        <v>125</v>
      </c>
      <c r="Q428" s="24">
        <f>SUM(Q426:Q427)</f>
        <v>0</v>
      </c>
      <c r="R428" s="24">
        <f>SUM(R426:R427)</f>
        <v>0</v>
      </c>
      <c r="S428" s="24">
        <f>SUM(S426:S427)</f>
        <v>0</v>
      </c>
      <c r="T428" s="24">
        <f>SUM(T426:T427)</f>
        <v>0</v>
      </c>
      <c r="U428" s="24">
        <f>SUM(U426:U427)</f>
        <v>149</v>
      </c>
      <c r="V428" s="26">
        <f>IF(I428-Q428=0,"",IF(D428="",(P428+S428)/(I428-Q428),IF(AND(D428&lt;&gt;"",(P428+S428)/(I428-Q428)&gt;=50%),(P428+S428)/(I428-Q428),"")))</f>
        <v>1</v>
      </c>
      <c r="W428" s="26">
        <f>IF(I428=O428,"",IF(V428="",0,(P428+Q428+S428-O428)/(I428-O428)))</f>
        <v>1</v>
      </c>
      <c r="X428" s="30"/>
      <c r="Y428" s="30"/>
      <c r="Z428" s="30"/>
      <c r="AA428" s="30"/>
      <c r="AB428" s="34"/>
      <c r="AC428" s="30"/>
      <c r="AD428" s="30"/>
      <c r="AE428" s="30"/>
      <c r="AF428" s="30"/>
      <c r="AG428" s="30"/>
      <c r="AH428" s="30"/>
      <c r="AI428" s="30"/>
      <c r="AJ428" s="30"/>
      <c r="AK428" s="30"/>
      <c r="AL428" s="30"/>
      <c r="AM428" s="30"/>
      <c r="AN428" s="30"/>
      <c r="AO428" s="30"/>
    </row>
    <row r="429" spans="1:41" s="39" customFormat="1" ht="22.5" customHeight="1">
      <c r="A429" s="32"/>
      <c r="B429" s="107" t="s">
        <v>134</v>
      </c>
      <c r="C429" s="14" t="s">
        <v>2</v>
      </c>
      <c r="D429" s="29" t="s">
        <v>43</v>
      </c>
      <c r="E429" s="16" t="s">
        <v>233</v>
      </c>
      <c r="F429" s="15"/>
      <c r="G429" s="15"/>
      <c r="H429" s="15"/>
      <c r="I429" s="17"/>
      <c r="J429" s="15"/>
      <c r="K429" s="15"/>
      <c r="L429" s="15"/>
      <c r="M429" s="15"/>
      <c r="N429" s="15"/>
      <c r="O429" s="15"/>
      <c r="P429" s="15"/>
      <c r="Q429" s="15"/>
      <c r="R429" s="15"/>
      <c r="S429" s="15"/>
      <c r="T429" s="15"/>
      <c r="U429" s="15"/>
      <c r="V429" s="18"/>
      <c r="W429" s="18"/>
      <c r="X429" s="30"/>
      <c r="Y429" s="30"/>
      <c r="Z429" s="30"/>
      <c r="AA429" s="30"/>
      <c r="AB429" s="34"/>
      <c r="AC429" s="30"/>
      <c r="AD429" s="30"/>
      <c r="AE429" s="30"/>
      <c r="AF429" s="30"/>
      <c r="AG429" s="30"/>
      <c r="AH429" s="30"/>
      <c r="AI429" s="30"/>
      <c r="AJ429" s="30"/>
      <c r="AK429" s="30"/>
      <c r="AL429" s="30"/>
      <c r="AM429" s="30"/>
      <c r="AN429" s="30"/>
      <c r="AO429" s="30"/>
    </row>
    <row r="430" spans="1:41" s="39" customFormat="1" ht="18.75" customHeight="1">
      <c r="A430" s="32">
        <v>11</v>
      </c>
      <c r="B430" s="107"/>
      <c r="C430" s="20" t="str">
        <f>IF(A430="","VARA",VLOOKUP(A430,'[1]varas'!$A$4:$B$67,2))</f>
        <v>11ª VT Recife</v>
      </c>
      <c r="D430" s="15"/>
      <c r="E430" s="16"/>
      <c r="F430" s="15">
        <f>35+15+8+3</f>
        <v>61</v>
      </c>
      <c r="G430" s="15">
        <v>18</v>
      </c>
      <c r="H430" s="15">
        <v>9</v>
      </c>
      <c r="I430" s="17">
        <f>SUM(F430:H430)</f>
        <v>88</v>
      </c>
      <c r="J430" s="15">
        <v>13</v>
      </c>
      <c r="K430" s="15">
        <v>11</v>
      </c>
      <c r="L430" s="15">
        <v>7</v>
      </c>
      <c r="M430" s="15">
        <v>0</v>
      </c>
      <c r="N430" s="15">
        <v>0</v>
      </c>
      <c r="O430" s="15">
        <v>15</v>
      </c>
      <c r="P430" s="15">
        <f>SUM(J430:O430)</f>
        <v>46</v>
      </c>
      <c r="Q430" s="15">
        <v>41</v>
      </c>
      <c r="R430" s="15">
        <v>1</v>
      </c>
      <c r="S430" s="15">
        <v>0</v>
      </c>
      <c r="T430" s="15">
        <v>0</v>
      </c>
      <c r="U430" s="15">
        <v>69</v>
      </c>
      <c r="V430" s="18"/>
      <c r="W430" s="18"/>
      <c r="X430" s="30"/>
      <c r="Y430" s="30"/>
      <c r="Z430" s="30"/>
      <c r="AA430" s="30"/>
      <c r="AB430" s="34"/>
      <c r="AC430" s="30"/>
      <c r="AD430" s="30"/>
      <c r="AE430" s="30"/>
      <c r="AF430" s="30"/>
      <c r="AG430" s="30"/>
      <c r="AH430" s="30"/>
      <c r="AI430" s="30"/>
      <c r="AJ430" s="30"/>
      <c r="AK430" s="30"/>
      <c r="AL430" s="30"/>
      <c r="AM430" s="30"/>
      <c r="AN430" s="30"/>
      <c r="AO430" s="30"/>
    </row>
    <row r="431" spans="1:41" s="39" customFormat="1" ht="23.25" customHeight="1">
      <c r="A431" s="32"/>
      <c r="B431" s="107"/>
      <c r="C431" s="21" t="s">
        <v>12</v>
      </c>
      <c r="D431" s="33"/>
      <c r="E431" s="23"/>
      <c r="F431" s="24">
        <f>SUM(F429:F430)</f>
        <v>61</v>
      </c>
      <c r="G431" s="24">
        <f>SUM(G429:G430)</f>
        <v>18</v>
      </c>
      <c r="H431" s="24">
        <f>SUM(H429:H430)</f>
        <v>9</v>
      </c>
      <c r="I431" s="25">
        <f>SUM(F431:H431)</f>
        <v>88</v>
      </c>
      <c r="J431" s="24">
        <f aca="true" t="shared" si="129" ref="J431:O431">SUM(J429:J430)</f>
        <v>13</v>
      </c>
      <c r="K431" s="24">
        <f t="shared" si="129"/>
        <v>11</v>
      </c>
      <c r="L431" s="24">
        <f t="shared" si="129"/>
        <v>7</v>
      </c>
      <c r="M431" s="24">
        <f t="shared" si="129"/>
        <v>0</v>
      </c>
      <c r="N431" s="24">
        <f t="shared" si="129"/>
        <v>0</v>
      </c>
      <c r="O431" s="24">
        <f t="shared" si="129"/>
        <v>15</v>
      </c>
      <c r="P431" s="24">
        <f>SUM(J431:O431)</f>
        <v>46</v>
      </c>
      <c r="Q431" s="24">
        <f>SUM(Q429:Q430)</f>
        <v>41</v>
      </c>
      <c r="R431" s="24">
        <f>SUM(R429:R430)</f>
        <v>1</v>
      </c>
      <c r="S431" s="24">
        <f>SUM(S429:S430)</f>
        <v>0</v>
      </c>
      <c r="T431" s="24">
        <f>SUM(T429:T430)</f>
        <v>0</v>
      </c>
      <c r="U431" s="24">
        <f>SUM(U429:U430)</f>
        <v>69</v>
      </c>
      <c r="V431" s="26">
        <f>IF(I431-Q431=0,"",IF(D431="",(P431+S431)/(I431-Q431),IF(AND(D431&lt;&gt;"",(P431+S431)/(I431-Q431)&gt;=50%),(P431+S431)/(I431-Q431),"")))</f>
        <v>0.9787234042553191</v>
      </c>
      <c r="W431" s="26">
        <f>IF(I431=O431,"",IF(V431="",0,(P431+Q431+S431-O431)/(I431-O431)))</f>
        <v>0.9863013698630136</v>
      </c>
      <c r="X431" s="30"/>
      <c r="Y431" s="30"/>
      <c r="Z431" s="30"/>
      <c r="AA431" s="30"/>
      <c r="AB431" s="34"/>
      <c r="AC431" s="30"/>
      <c r="AD431" s="30"/>
      <c r="AE431" s="30"/>
      <c r="AF431" s="30"/>
      <c r="AG431" s="30"/>
      <c r="AH431" s="30"/>
      <c r="AI431" s="30"/>
      <c r="AJ431" s="30"/>
      <c r="AK431" s="30"/>
      <c r="AL431" s="30"/>
      <c r="AM431" s="30"/>
      <c r="AN431" s="30"/>
      <c r="AO431" s="30"/>
    </row>
    <row r="432" spans="1:41" s="39" customFormat="1" ht="23.25" customHeight="1">
      <c r="A432" s="32"/>
      <c r="B432" s="107" t="s">
        <v>135</v>
      </c>
      <c r="C432" s="14" t="s">
        <v>2</v>
      </c>
      <c r="D432" s="29" t="s">
        <v>166</v>
      </c>
      <c r="E432" s="16" t="s">
        <v>171</v>
      </c>
      <c r="F432" s="15"/>
      <c r="G432" s="15"/>
      <c r="H432" s="15"/>
      <c r="I432" s="17"/>
      <c r="J432" s="15"/>
      <c r="K432" s="15"/>
      <c r="L432" s="15"/>
      <c r="M432" s="15"/>
      <c r="N432" s="15"/>
      <c r="O432" s="15"/>
      <c r="P432" s="15"/>
      <c r="Q432" s="15"/>
      <c r="R432" s="15"/>
      <c r="S432" s="15"/>
      <c r="T432" s="15"/>
      <c r="U432" s="15"/>
      <c r="V432" s="18"/>
      <c r="W432" s="18"/>
      <c r="X432" s="30"/>
      <c r="Y432" s="30"/>
      <c r="Z432" s="30"/>
      <c r="AA432" s="30"/>
      <c r="AB432" s="34"/>
      <c r="AC432" s="30"/>
      <c r="AD432" s="30"/>
      <c r="AE432" s="30"/>
      <c r="AF432" s="30"/>
      <c r="AG432" s="30"/>
      <c r="AH432" s="30"/>
      <c r="AI432" s="30"/>
      <c r="AJ432" s="30"/>
      <c r="AK432" s="30"/>
      <c r="AL432" s="30"/>
      <c r="AM432" s="30"/>
      <c r="AN432" s="30"/>
      <c r="AO432" s="30"/>
    </row>
    <row r="433" spans="1:41" s="39" customFormat="1" ht="18" customHeight="1">
      <c r="A433" s="32">
        <v>51</v>
      </c>
      <c r="B433" s="107"/>
      <c r="C433" s="20" t="str">
        <f>IF(A433="","VARA",VLOOKUP(A433,'[1]varas'!$A$4:$B$67,2))</f>
        <v>VT Goiana</v>
      </c>
      <c r="D433" s="15"/>
      <c r="E433" s="16"/>
      <c r="F433" s="15">
        <v>0</v>
      </c>
      <c r="G433" s="15">
        <v>0</v>
      </c>
      <c r="H433" s="15">
        <v>0</v>
      </c>
      <c r="I433" s="17">
        <f>SUM(F433:H433)</f>
        <v>0</v>
      </c>
      <c r="J433" s="15">
        <v>0</v>
      </c>
      <c r="K433" s="15">
        <v>0</v>
      </c>
      <c r="L433" s="15">
        <v>0</v>
      </c>
      <c r="M433" s="15">
        <v>0</v>
      </c>
      <c r="N433" s="15">
        <v>0</v>
      </c>
      <c r="O433" s="15">
        <v>0</v>
      </c>
      <c r="P433" s="15">
        <f>SUM(J433:O433)</f>
        <v>0</v>
      </c>
      <c r="Q433" s="15">
        <v>0</v>
      </c>
      <c r="R433" s="15">
        <v>0</v>
      </c>
      <c r="S433" s="15">
        <v>0</v>
      </c>
      <c r="T433" s="15">
        <v>0</v>
      </c>
      <c r="U433" s="15">
        <v>0</v>
      </c>
      <c r="V433" s="18"/>
      <c r="W433" s="18"/>
      <c r="X433" s="30"/>
      <c r="Y433" s="30"/>
      <c r="Z433" s="30"/>
      <c r="AA433" s="30"/>
      <c r="AB433" s="34"/>
      <c r="AC433" s="30"/>
      <c r="AD433" s="30"/>
      <c r="AE433" s="30"/>
      <c r="AF433" s="30"/>
      <c r="AG433" s="30"/>
      <c r="AH433" s="30"/>
      <c r="AI433" s="30"/>
      <c r="AJ433" s="30"/>
      <c r="AK433" s="30"/>
      <c r="AL433" s="30"/>
      <c r="AM433" s="30"/>
      <c r="AN433" s="30"/>
      <c r="AO433" s="30"/>
    </row>
    <row r="434" spans="1:41" s="39" customFormat="1" ht="20.25" customHeight="1">
      <c r="A434" s="32"/>
      <c r="B434" s="107"/>
      <c r="C434" s="21" t="s">
        <v>12</v>
      </c>
      <c r="D434" s="33"/>
      <c r="E434" s="23"/>
      <c r="F434" s="24">
        <f>SUM(F432:F433)</f>
        <v>0</v>
      </c>
      <c r="G434" s="24">
        <f>SUM(G432:G433)</f>
        <v>0</v>
      </c>
      <c r="H434" s="24">
        <f>SUM(H432:H433)</f>
        <v>0</v>
      </c>
      <c r="I434" s="25">
        <f>SUM(F434:H434)</f>
        <v>0</v>
      </c>
      <c r="J434" s="24">
        <f aca="true" t="shared" si="130" ref="J434:O434">SUM(J432:J433)</f>
        <v>0</v>
      </c>
      <c r="K434" s="24">
        <f t="shared" si="130"/>
        <v>0</v>
      </c>
      <c r="L434" s="24">
        <f t="shared" si="130"/>
        <v>0</v>
      </c>
      <c r="M434" s="24">
        <f t="shared" si="130"/>
        <v>0</v>
      </c>
      <c r="N434" s="24">
        <f t="shared" si="130"/>
        <v>0</v>
      </c>
      <c r="O434" s="24">
        <f t="shared" si="130"/>
        <v>0</v>
      </c>
      <c r="P434" s="24">
        <f>SUM(J434:O434)</f>
        <v>0</v>
      </c>
      <c r="Q434" s="24">
        <f>SUM(Q432:Q433)</f>
        <v>0</v>
      </c>
      <c r="R434" s="24">
        <f>SUM(R432:R433)</f>
        <v>0</v>
      </c>
      <c r="S434" s="24">
        <f>SUM(S432:S433)</f>
        <v>0</v>
      </c>
      <c r="T434" s="24">
        <f>SUM(T432:T433)</f>
        <v>0</v>
      </c>
      <c r="U434" s="24">
        <f>SUM(U432:U433)</f>
        <v>0</v>
      </c>
      <c r="V434" s="26">
        <f>IF(I434-Q434=0,"",IF(D434="",(P434+S434)/(I434-Q434),IF(AND(D434&lt;&gt;"",(P434+S434)/(I434-Q434)&gt;=50%),(P434+S434)/(I434-Q434),"")))</f>
      </c>
      <c r="W434" s="26">
        <f>IF(I434=O434,"",IF(V434="",0,(P434+Q434+S434-O434)/(I434-O434)))</f>
      </c>
      <c r="X434" s="30"/>
      <c r="Y434" s="30"/>
      <c r="Z434" s="30"/>
      <c r="AA434" s="30"/>
      <c r="AB434" s="34"/>
      <c r="AC434" s="30"/>
      <c r="AD434" s="30"/>
      <c r="AE434" s="30"/>
      <c r="AF434" s="30"/>
      <c r="AG434" s="30"/>
      <c r="AH434" s="30"/>
      <c r="AI434" s="30"/>
      <c r="AJ434" s="30"/>
      <c r="AK434" s="30"/>
      <c r="AL434" s="30"/>
      <c r="AM434" s="30"/>
      <c r="AN434" s="30"/>
      <c r="AO434" s="30"/>
    </row>
    <row r="435" spans="1:41" s="39" customFormat="1" ht="18.75" customHeight="1">
      <c r="A435" s="32"/>
      <c r="B435" s="107" t="s">
        <v>136</v>
      </c>
      <c r="C435" s="14" t="s">
        <v>2</v>
      </c>
      <c r="D435" s="29" t="s">
        <v>30</v>
      </c>
      <c r="E435" s="16" t="s">
        <v>201</v>
      </c>
      <c r="F435" s="15"/>
      <c r="G435" s="15"/>
      <c r="H435" s="15"/>
      <c r="I435" s="17"/>
      <c r="J435" s="15"/>
      <c r="K435" s="15"/>
      <c r="L435" s="15"/>
      <c r="M435" s="15"/>
      <c r="N435" s="15"/>
      <c r="O435" s="15"/>
      <c r="P435" s="15"/>
      <c r="Q435" s="15"/>
      <c r="R435" s="15"/>
      <c r="S435" s="15"/>
      <c r="T435" s="15"/>
      <c r="U435" s="15"/>
      <c r="V435" s="18"/>
      <c r="W435" s="18"/>
      <c r="X435" s="30"/>
      <c r="Y435" s="30"/>
      <c r="Z435" s="30"/>
      <c r="AA435" s="30"/>
      <c r="AB435" s="34"/>
      <c r="AC435" s="30"/>
      <c r="AD435" s="30"/>
      <c r="AE435" s="30"/>
      <c r="AF435" s="30"/>
      <c r="AG435" s="30"/>
      <c r="AH435" s="30"/>
      <c r="AI435" s="30"/>
      <c r="AJ435" s="30"/>
      <c r="AK435" s="30"/>
      <c r="AL435" s="30"/>
      <c r="AM435" s="30"/>
      <c r="AN435" s="30"/>
      <c r="AO435" s="30"/>
    </row>
    <row r="436" spans="1:41" s="39" customFormat="1" ht="18.75" customHeight="1">
      <c r="A436" s="32">
        <v>17</v>
      </c>
      <c r="B436" s="107"/>
      <c r="C436" s="20" t="str">
        <f>IF(A436="","VARA",VLOOKUP(A436,'[1]varas'!$A$4:$B$67,2))</f>
        <v>17ª VT Recife</v>
      </c>
      <c r="D436" s="29"/>
      <c r="E436" s="16"/>
      <c r="F436" s="15">
        <v>0</v>
      </c>
      <c r="G436" s="15">
        <v>6</v>
      </c>
      <c r="H436" s="15">
        <v>0</v>
      </c>
      <c r="I436" s="17">
        <f>SUM(F436:H436)</f>
        <v>6</v>
      </c>
      <c r="J436" s="15">
        <v>4</v>
      </c>
      <c r="K436" s="15">
        <v>0</v>
      </c>
      <c r="L436" s="15">
        <v>0</v>
      </c>
      <c r="M436" s="15">
        <v>0</v>
      </c>
      <c r="N436" s="15">
        <v>0</v>
      </c>
      <c r="O436" s="15">
        <v>0</v>
      </c>
      <c r="P436" s="15">
        <f>SUM(J436:O436)</f>
        <v>4</v>
      </c>
      <c r="Q436" s="15">
        <v>2</v>
      </c>
      <c r="R436" s="15">
        <v>0</v>
      </c>
      <c r="S436" s="15">
        <v>0</v>
      </c>
      <c r="T436" s="15">
        <v>0</v>
      </c>
      <c r="U436" s="15">
        <v>37</v>
      </c>
      <c r="V436" s="18"/>
      <c r="W436" s="18"/>
      <c r="X436" s="30"/>
      <c r="Y436" s="30"/>
      <c r="Z436" s="30"/>
      <c r="AA436" s="30"/>
      <c r="AB436" s="34"/>
      <c r="AC436" s="30"/>
      <c r="AD436" s="30"/>
      <c r="AE436" s="30"/>
      <c r="AF436" s="30"/>
      <c r="AG436" s="30"/>
      <c r="AH436" s="30"/>
      <c r="AI436" s="30"/>
      <c r="AJ436" s="30"/>
      <c r="AK436" s="30"/>
      <c r="AL436" s="30"/>
      <c r="AM436" s="30"/>
      <c r="AN436" s="30"/>
      <c r="AO436" s="30"/>
    </row>
    <row r="437" spans="1:41" s="39" customFormat="1" ht="21.75" customHeight="1">
      <c r="A437" s="32"/>
      <c r="B437" s="107"/>
      <c r="C437" s="21" t="s">
        <v>12</v>
      </c>
      <c r="D437" s="33"/>
      <c r="E437" s="23"/>
      <c r="F437" s="24">
        <f>SUM(F435:F436)</f>
        <v>0</v>
      </c>
      <c r="G437" s="24">
        <f>SUM(G435:G436)</f>
        <v>6</v>
      </c>
      <c r="H437" s="24">
        <f>SUM(H435:H436)</f>
        <v>0</v>
      </c>
      <c r="I437" s="25">
        <f>SUM(F437:H437)</f>
        <v>6</v>
      </c>
      <c r="J437" s="24">
        <f aca="true" t="shared" si="131" ref="J437:O437">SUM(J435:J436)</f>
        <v>4</v>
      </c>
      <c r="K437" s="24">
        <f t="shared" si="131"/>
        <v>0</v>
      </c>
      <c r="L437" s="24">
        <f t="shared" si="131"/>
        <v>0</v>
      </c>
      <c r="M437" s="24">
        <f t="shared" si="131"/>
        <v>0</v>
      </c>
      <c r="N437" s="24">
        <f t="shared" si="131"/>
        <v>0</v>
      </c>
      <c r="O437" s="24">
        <f t="shared" si="131"/>
        <v>0</v>
      </c>
      <c r="P437" s="24">
        <f>SUM(J437:O437)</f>
        <v>4</v>
      </c>
      <c r="Q437" s="24">
        <f>SUM(Q435:Q436)</f>
        <v>2</v>
      </c>
      <c r="R437" s="24">
        <f>SUM(R435:R436)</f>
        <v>0</v>
      </c>
      <c r="S437" s="24">
        <f>SUM(S435:S436)</f>
        <v>0</v>
      </c>
      <c r="T437" s="24">
        <f>SUM(T435:T436)</f>
        <v>0</v>
      </c>
      <c r="U437" s="24">
        <f>SUM(U435:U436)</f>
        <v>37</v>
      </c>
      <c r="V437" s="26">
        <f>IF(I437-Q437=0,"",IF(D437="",(P437+S437)/(I437-Q437),IF(AND(D437&lt;&gt;"",(P437+S437)/(I437-Q437)&gt;=50%),(P437+S437)/(I437-Q437),"")))</f>
        <v>1</v>
      </c>
      <c r="W437" s="26">
        <f>IF(I437=O437,"",IF(V437="",0,(P437+Q437+S437-O437)/(I437-O437)))</f>
        <v>1</v>
      </c>
      <c r="X437" s="30"/>
      <c r="Y437" s="30"/>
      <c r="Z437" s="30"/>
      <c r="AA437" s="30"/>
      <c r="AB437" s="34"/>
      <c r="AC437" s="30"/>
      <c r="AD437" s="30"/>
      <c r="AE437" s="30"/>
      <c r="AF437" s="30"/>
      <c r="AG437" s="30"/>
      <c r="AH437" s="30"/>
      <c r="AI437" s="30"/>
      <c r="AJ437" s="30"/>
      <c r="AK437" s="30"/>
      <c r="AL437" s="30"/>
      <c r="AM437" s="30"/>
      <c r="AN437" s="30"/>
      <c r="AO437" s="30"/>
    </row>
    <row r="438" spans="1:41" s="39" customFormat="1" ht="18.75" customHeight="1">
      <c r="A438" s="32"/>
      <c r="B438" s="107" t="s">
        <v>137</v>
      </c>
      <c r="C438" s="14" t="s">
        <v>2</v>
      </c>
      <c r="D438" s="29"/>
      <c r="E438" s="16" t="s">
        <v>27</v>
      </c>
      <c r="F438" s="15"/>
      <c r="G438" s="15"/>
      <c r="H438" s="15"/>
      <c r="I438" s="17"/>
      <c r="J438" s="15"/>
      <c r="K438" s="15"/>
      <c r="L438" s="15"/>
      <c r="M438" s="15"/>
      <c r="N438" s="15"/>
      <c r="O438" s="15"/>
      <c r="P438" s="15"/>
      <c r="Q438" s="15"/>
      <c r="R438" s="15"/>
      <c r="S438" s="15"/>
      <c r="T438" s="15"/>
      <c r="U438" s="15"/>
      <c r="V438" s="18"/>
      <c r="W438" s="18"/>
      <c r="X438" s="30"/>
      <c r="Y438" s="30"/>
      <c r="Z438" s="30"/>
      <c r="AA438" s="30"/>
      <c r="AB438" s="34"/>
      <c r="AC438" s="30"/>
      <c r="AD438" s="30"/>
      <c r="AE438" s="30"/>
      <c r="AF438" s="30"/>
      <c r="AG438" s="30"/>
      <c r="AH438" s="30"/>
      <c r="AI438" s="30"/>
      <c r="AJ438" s="30"/>
      <c r="AK438" s="30"/>
      <c r="AL438" s="30"/>
      <c r="AM438" s="30"/>
      <c r="AN438" s="30"/>
      <c r="AO438" s="30"/>
    </row>
    <row r="439" spans="1:41" s="39" customFormat="1" ht="16.5" customHeight="1">
      <c r="A439" s="32">
        <v>51</v>
      </c>
      <c r="B439" s="107"/>
      <c r="C439" s="20" t="str">
        <f>IF(A439="","VARA",VLOOKUP(A439,'[1]varas'!$A$4:$B$67,2))</f>
        <v>VT Goiana</v>
      </c>
      <c r="D439" s="15"/>
      <c r="E439" s="16"/>
      <c r="F439" s="15">
        <f>31+43+2+8</f>
        <v>84</v>
      </c>
      <c r="G439" s="15">
        <v>2</v>
      </c>
      <c r="H439" s="15">
        <v>0</v>
      </c>
      <c r="I439" s="17">
        <f>SUM(F439:H439)</f>
        <v>86</v>
      </c>
      <c r="J439" s="15">
        <v>15</v>
      </c>
      <c r="K439" s="15">
        <v>14</v>
      </c>
      <c r="L439" s="15">
        <v>2</v>
      </c>
      <c r="M439" s="15">
        <v>8</v>
      </c>
      <c r="N439" s="15">
        <v>0</v>
      </c>
      <c r="O439" s="15">
        <v>43</v>
      </c>
      <c r="P439" s="15">
        <f>SUM(J439:O439)</f>
        <v>82</v>
      </c>
      <c r="Q439" s="15">
        <v>4</v>
      </c>
      <c r="R439" s="15">
        <v>0</v>
      </c>
      <c r="S439" s="15">
        <v>0</v>
      </c>
      <c r="T439" s="15">
        <v>0</v>
      </c>
      <c r="U439" s="15">
        <v>162</v>
      </c>
      <c r="V439" s="18"/>
      <c r="W439" s="18"/>
      <c r="X439" s="30"/>
      <c r="Y439" s="30"/>
      <c r="Z439" s="30"/>
      <c r="AA439" s="30"/>
      <c r="AB439" s="34"/>
      <c r="AC439" s="30"/>
      <c r="AD439" s="30"/>
      <c r="AE439" s="30"/>
      <c r="AF439" s="30"/>
      <c r="AG439" s="30"/>
      <c r="AH439" s="30"/>
      <c r="AI439" s="30"/>
      <c r="AJ439" s="30"/>
      <c r="AK439" s="30"/>
      <c r="AL439" s="30"/>
      <c r="AM439" s="30"/>
      <c r="AN439" s="30"/>
      <c r="AO439" s="30"/>
    </row>
    <row r="440" spans="1:41" s="39" customFormat="1" ht="18" customHeight="1">
      <c r="A440" s="32"/>
      <c r="B440" s="107"/>
      <c r="C440" s="21" t="s">
        <v>12</v>
      </c>
      <c r="D440" s="33"/>
      <c r="E440" s="23"/>
      <c r="F440" s="24">
        <f>SUM(F438:F439)</f>
        <v>84</v>
      </c>
      <c r="G440" s="24">
        <f>SUM(G438:G439)</f>
        <v>2</v>
      </c>
      <c r="H440" s="24">
        <f>SUM(H438:H439)</f>
        <v>0</v>
      </c>
      <c r="I440" s="40">
        <f>SUM(F440:H440)</f>
        <v>86</v>
      </c>
      <c r="J440" s="24">
        <f aca="true" t="shared" si="132" ref="J440:O440">SUM(J438:J439)</f>
        <v>15</v>
      </c>
      <c r="K440" s="24">
        <f t="shared" si="132"/>
        <v>14</v>
      </c>
      <c r="L440" s="24">
        <f t="shared" si="132"/>
        <v>2</v>
      </c>
      <c r="M440" s="24">
        <f t="shared" si="132"/>
        <v>8</v>
      </c>
      <c r="N440" s="24">
        <f t="shared" si="132"/>
        <v>0</v>
      </c>
      <c r="O440" s="24">
        <f t="shared" si="132"/>
        <v>43</v>
      </c>
      <c r="P440" s="24">
        <f>SUM(J440:O440)</f>
        <v>82</v>
      </c>
      <c r="Q440" s="24">
        <f>SUM(Q438:Q439)</f>
        <v>4</v>
      </c>
      <c r="R440" s="24">
        <f>SUM(R438:R439)</f>
        <v>0</v>
      </c>
      <c r="S440" s="24">
        <f>SUM(S438:S439)</f>
        <v>0</v>
      </c>
      <c r="T440" s="24">
        <f>SUM(T438:T439)</f>
        <v>0</v>
      </c>
      <c r="U440" s="24">
        <f>SUM(U438:U439)</f>
        <v>162</v>
      </c>
      <c r="V440" s="26">
        <f>IF(I440-Q440=0,"",IF(D440="",(P440+S440)/(I440-Q440),IF(AND(D440&lt;&gt;"",(P440+S440)/(I440-Q440)&gt;=50%),(P440+S440)/(I440-Q440),"")))</f>
        <v>1</v>
      </c>
      <c r="W440" s="26">
        <f>IF(I440=O440,"",IF(V440="",0,(P440+Q440+S440-O440)/(I440-O440)))</f>
        <v>1</v>
      </c>
      <c r="X440" s="30"/>
      <c r="Y440" s="30"/>
      <c r="Z440" s="30"/>
      <c r="AA440" s="30"/>
      <c r="AB440" s="34"/>
      <c r="AC440" s="30"/>
      <c r="AD440" s="30"/>
      <c r="AE440" s="30"/>
      <c r="AF440" s="30"/>
      <c r="AG440" s="30"/>
      <c r="AH440" s="30"/>
      <c r="AI440" s="30"/>
      <c r="AJ440" s="30"/>
      <c r="AK440" s="30"/>
      <c r="AL440" s="30"/>
      <c r="AM440" s="30"/>
      <c r="AN440" s="30"/>
      <c r="AO440" s="30"/>
    </row>
    <row r="441" spans="1:41" s="39" customFormat="1" ht="21" customHeight="1">
      <c r="A441" s="32"/>
      <c r="B441" s="107" t="s">
        <v>138</v>
      </c>
      <c r="C441" s="14" t="s">
        <v>2</v>
      </c>
      <c r="D441" s="29"/>
      <c r="E441" s="16" t="s">
        <v>27</v>
      </c>
      <c r="F441" s="15"/>
      <c r="G441" s="15"/>
      <c r="H441" s="15"/>
      <c r="I441" s="17"/>
      <c r="J441" s="15"/>
      <c r="K441" s="15"/>
      <c r="L441" s="15"/>
      <c r="M441" s="15"/>
      <c r="N441" s="15"/>
      <c r="O441" s="15"/>
      <c r="P441" s="15"/>
      <c r="Q441" s="15"/>
      <c r="R441" s="15"/>
      <c r="S441" s="15"/>
      <c r="T441" s="15"/>
      <c r="U441" s="15"/>
      <c r="V441" s="18"/>
      <c r="W441" s="18"/>
      <c r="X441" s="30"/>
      <c r="Y441" s="30"/>
      <c r="Z441" s="30"/>
      <c r="AA441" s="30"/>
      <c r="AB441" s="34"/>
      <c r="AC441" s="30"/>
      <c r="AD441" s="30"/>
      <c r="AE441" s="30"/>
      <c r="AF441" s="30"/>
      <c r="AG441" s="30"/>
      <c r="AH441" s="30"/>
      <c r="AI441" s="30"/>
      <c r="AJ441" s="30"/>
      <c r="AK441" s="30"/>
      <c r="AL441" s="30"/>
      <c r="AM441" s="30"/>
      <c r="AN441" s="30"/>
      <c r="AO441" s="30"/>
    </row>
    <row r="442" spans="1:41" s="39" customFormat="1" ht="20.25" customHeight="1">
      <c r="A442" s="32">
        <v>1</v>
      </c>
      <c r="B442" s="107"/>
      <c r="C442" s="20" t="str">
        <f>IF(A442="","VARA",VLOOKUP(A442,'[1]varas'!$A$4:$B$67,2))</f>
        <v>1ª VT Recife</v>
      </c>
      <c r="D442" s="15"/>
      <c r="E442" s="16"/>
      <c r="F442" s="15">
        <f>27+35+5+2</f>
        <v>69</v>
      </c>
      <c r="G442" s="15">
        <v>21</v>
      </c>
      <c r="H442" s="15">
        <v>6</v>
      </c>
      <c r="I442" s="17">
        <f>SUM(F442:H442)</f>
        <v>96</v>
      </c>
      <c r="J442" s="15">
        <v>30</v>
      </c>
      <c r="K442" s="15">
        <v>4</v>
      </c>
      <c r="L442" s="15">
        <v>5</v>
      </c>
      <c r="M442" s="15">
        <v>0</v>
      </c>
      <c r="N442" s="15">
        <v>2</v>
      </c>
      <c r="O442" s="15">
        <v>35</v>
      </c>
      <c r="P442" s="15">
        <f>SUM(J442:O442)</f>
        <v>76</v>
      </c>
      <c r="Q442" s="15">
        <v>7</v>
      </c>
      <c r="R442" s="15">
        <v>13</v>
      </c>
      <c r="S442" s="15">
        <v>0</v>
      </c>
      <c r="T442" s="15">
        <v>0</v>
      </c>
      <c r="U442" s="15">
        <v>161</v>
      </c>
      <c r="V442" s="18"/>
      <c r="W442" s="18"/>
      <c r="X442" s="30"/>
      <c r="Y442" s="30"/>
      <c r="Z442" s="30"/>
      <c r="AA442" s="30"/>
      <c r="AB442" s="34"/>
      <c r="AC442" s="30"/>
      <c r="AD442" s="30"/>
      <c r="AE442" s="30"/>
      <c r="AF442" s="30"/>
      <c r="AG442" s="30"/>
      <c r="AH442" s="30"/>
      <c r="AI442" s="30"/>
      <c r="AJ442" s="30"/>
      <c r="AK442" s="30"/>
      <c r="AL442" s="30"/>
      <c r="AM442" s="30"/>
      <c r="AN442" s="30"/>
      <c r="AO442" s="30"/>
    </row>
    <row r="443" spans="1:41" s="39" customFormat="1" ht="21" customHeight="1">
      <c r="A443" s="32"/>
      <c r="B443" s="107"/>
      <c r="C443" s="21" t="s">
        <v>12</v>
      </c>
      <c r="D443" s="33"/>
      <c r="E443" s="23"/>
      <c r="F443" s="24">
        <f>SUM(F441:F442)</f>
        <v>69</v>
      </c>
      <c r="G443" s="24">
        <f>SUM(G441:G442)</f>
        <v>21</v>
      </c>
      <c r="H443" s="24">
        <f>SUM(H441:H442)</f>
        <v>6</v>
      </c>
      <c r="I443" s="25">
        <f>SUM(F443:H443)</f>
        <v>96</v>
      </c>
      <c r="J443" s="24">
        <f aca="true" t="shared" si="133" ref="J443:O443">SUM(J441:J442)</f>
        <v>30</v>
      </c>
      <c r="K443" s="24">
        <f t="shared" si="133"/>
        <v>4</v>
      </c>
      <c r="L443" s="24">
        <f t="shared" si="133"/>
        <v>5</v>
      </c>
      <c r="M443" s="24">
        <f t="shared" si="133"/>
        <v>0</v>
      </c>
      <c r="N443" s="24">
        <f t="shared" si="133"/>
        <v>2</v>
      </c>
      <c r="O443" s="24">
        <f t="shared" si="133"/>
        <v>35</v>
      </c>
      <c r="P443" s="24">
        <f>SUM(J443:O443)</f>
        <v>76</v>
      </c>
      <c r="Q443" s="24">
        <f>SUM(Q441:Q442)</f>
        <v>7</v>
      </c>
      <c r="R443" s="24">
        <f>SUM(R441:R442)</f>
        <v>13</v>
      </c>
      <c r="S443" s="24">
        <f>SUM(S441:S442)</f>
        <v>0</v>
      </c>
      <c r="T443" s="24">
        <f>SUM(T441:T442)</f>
        <v>0</v>
      </c>
      <c r="U443" s="24">
        <f>SUM(U441:U442)</f>
        <v>161</v>
      </c>
      <c r="V443" s="26">
        <f>IF(I443-Q443=0,"",IF(D443="",(P443+S443)/(I443-Q443),IF(AND(D443&lt;&gt;"",(P443+S443)/(I443-Q443)&gt;=50%),(P443+S443)/(I443-Q443),"")))</f>
        <v>0.8539325842696629</v>
      </c>
      <c r="W443" s="26">
        <f>IF(I443=O443,"",IF(V443="",0,(P443+Q443+S443-O443)/(I443-O443)))</f>
        <v>0.7868852459016393</v>
      </c>
      <c r="X443" s="30"/>
      <c r="Y443" s="30"/>
      <c r="Z443" s="30"/>
      <c r="AA443" s="30"/>
      <c r="AB443" s="34"/>
      <c r="AC443" s="30"/>
      <c r="AD443" s="30"/>
      <c r="AE443" s="30"/>
      <c r="AF443" s="30"/>
      <c r="AG443" s="30"/>
      <c r="AH443" s="30"/>
      <c r="AI443" s="30"/>
      <c r="AJ443" s="30"/>
      <c r="AK443" s="30"/>
      <c r="AL443" s="30"/>
      <c r="AM443" s="30"/>
      <c r="AN443" s="30"/>
      <c r="AO443" s="30"/>
    </row>
    <row r="444" spans="1:41" s="39" customFormat="1" ht="21" customHeight="1">
      <c r="A444" s="32"/>
      <c r="B444" s="90"/>
      <c r="C444" s="82"/>
      <c r="D444" s="83"/>
      <c r="E444" s="84"/>
      <c r="F444" s="85"/>
      <c r="G444" s="85"/>
      <c r="H444" s="85"/>
      <c r="I444" s="86"/>
      <c r="J444" s="85"/>
      <c r="K444" s="85"/>
      <c r="L444" s="85"/>
      <c r="M444" s="85"/>
      <c r="N444" s="85"/>
      <c r="O444" s="85"/>
      <c r="P444" s="85"/>
      <c r="Q444" s="85"/>
      <c r="R444" s="85"/>
      <c r="S444" s="85"/>
      <c r="T444" s="85"/>
      <c r="U444" s="85"/>
      <c r="V444" s="87"/>
      <c r="W444" s="87"/>
      <c r="X444" s="30"/>
      <c r="Y444" s="30"/>
      <c r="Z444" s="30"/>
      <c r="AA444" s="30"/>
      <c r="AB444" s="34"/>
      <c r="AC444" s="30"/>
      <c r="AD444" s="30"/>
      <c r="AE444" s="30"/>
      <c r="AF444" s="30"/>
      <c r="AG444" s="30"/>
      <c r="AH444" s="30"/>
      <c r="AI444" s="30"/>
      <c r="AJ444" s="30"/>
      <c r="AK444" s="30"/>
      <c r="AL444" s="30"/>
      <c r="AM444" s="30"/>
      <c r="AN444" s="30"/>
      <c r="AO444" s="30"/>
    </row>
    <row r="445" spans="1:41" s="39" customFormat="1" ht="13.5" customHeight="1">
      <c r="A445" s="32"/>
      <c r="B445" s="105" t="s">
        <v>187</v>
      </c>
      <c r="C445" s="82"/>
      <c r="D445" s="83"/>
      <c r="E445" s="84"/>
      <c r="F445" s="85"/>
      <c r="G445" s="85"/>
      <c r="H445" s="85"/>
      <c r="I445" s="86"/>
      <c r="J445" s="85"/>
      <c r="K445" s="85"/>
      <c r="L445" s="85"/>
      <c r="M445" s="85"/>
      <c r="N445" s="85"/>
      <c r="O445" s="85"/>
      <c r="P445" s="85"/>
      <c r="Q445" s="85"/>
      <c r="R445" s="85"/>
      <c r="S445" s="85"/>
      <c r="T445" s="85"/>
      <c r="U445" s="85"/>
      <c r="V445" s="87"/>
      <c r="W445" s="87"/>
      <c r="X445" s="30"/>
      <c r="Y445" s="30"/>
      <c r="Z445" s="30"/>
      <c r="AA445" s="30"/>
      <c r="AB445" s="34"/>
      <c r="AC445" s="30"/>
      <c r="AD445" s="30"/>
      <c r="AE445" s="30"/>
      <c r="AF445" s="30"/>
      <c r="AG445" s="30"/>
      <c r="AH445" s="30"/>
      <c r="AI445" s="30"/>
      <c r="AJ445" s="30"/>
      <c r="AK445" s="30"/>
      <c r="AL445" s="30"/>
      <c r="AM445" s="30"/>
      <c r="AN445" s="30"/>
      <c r="AO445" s="30"/>
    </row>
    <row r="446" spans="1:41" s="39" customFormat="1" ht="13.5" customHeight="1">
      <c r="A446" s="32"/>
      <c r="B446" s="105" t="s">
        <v>240</v>
      </c>
      <c r="C446" s="82"/>
      <c r="D446" s="83"/>
      <c r="E446" s="84"/>
      <c r="F446" s="85"/>
      <c r="G446" s="85"/>
      <c r="H446" s="85"/>
      <c r="I446" s="86"/>
      <c r="J446" s="85"/>
      <c r="K446" s="85"/>
      <c r="L446" s="85"/>
      <c r="M446" s="85"/>
      <c r="N446" s="85"/>
      <c r="O446" s="85"/>
      <c r="P446" s="85"/>
      <c r="Q446" s="85"/>
      <c r="R446" s="85"/>
      <c r="S446" s="85"/>
      <c r="T446" s="85"/>
      <c r="U446" s="85"/>
      <c r="V446" s="87"/>
      <c r="W446" s="87"/>
      <c r="X446" s="30"/>
      <c r="Y446" s="30"/>
      <c r="Z446" s="30"/>
      <c r="AA446" s="30"/>
      <c r="AB446" s="34"/>
      <c r="AC446" s="30"/>
      <c r="AD446" s="30"/>
      <c r="AE446" s="30"/>
      <c r="AF446" s="30"/>
      <c r="AG446" s="30"/>
      <c r="AH446" s="30"/>
      <c r="AI446" s="30"/>
      <c r="AJ446" s="30"/>
      <c r="AK446" s="30"/>
      <c r="AL446" s="30"/>
      <c r="AM446" s="30"/>
      <c r="AN446" s="30"/>
      <c r="AO446" s="30"/>
    </row>
    <row r="447" spans="1:41" s="39" customFormat="1" ht="13.5" customHeight="1">
      <c r="A447" s="32"/>
      <c r="B447" s="105" t="s">
        <v>234</v>
      </c>
      <c r="C447" s="82"/>
      <c r="D447" s="83"/>
      <c r="E447" s="84"/>
      <c r="F447" s="85"/>
      <c r="G447" s="85"/>
      <c r="H447" s="85"/>
      <c r="I447" s="86"/>
      <c r="J447" s="85"/>
      <c r="K447" s="85"/>
      <c r="L447" s="85"/>
      <c r="M447" s="85"/>
      <c r="N447" s="85"/>
      <c r="O447" s="85"/>
      <c r="P447" s="85"/>
      <c r="Q447" s="85"/>
      <c r="R447" s="85"/>
      <c r="S447" s="85"/>
      <c r="T447" s="85"/>
      <c r="U447" s="85"/>
      <c r="V447" s="87"/>
      <c r="W447" s="87"/>
      <c r="X447" s="30"/>
      <c r="Y447" s="30"/>
      <c r="Z447" s="30"/>
      <c r="AA447" s="30"/>
      <c r="AB447" s="34"/>
      <c r="AC447" s="30"/>
      <c r="AD447" s="30"/>
      <c r="AE447" s="30"/>
      <c r="AF447" s="30"/>
      <c r="AG447" s="30"/>
      <c r="AH447" s="30"/>
      <c r="AI447" s="30"/>
      <c r="AJ447" s="30"/>
      <c r="AK447" s="30"/>
      <c r="AL447" s="30"/>
      <c r="AM447" s="30"/>
      <c r="AN447" s="30"/>
      <c r="AO447" s="30"/>
    </row>
    <row r="448" spans="1:41" s="39" customFormat="1" ht="13.5" customHeight="1">
      <c r="A448" s="32"/>
      <c r="B448" s="105" t="s">
        <v>235</v>
      </c>
      <c r="C448" s="82"/>
      <c r="D448" s="83"/>
      <c r="E448" s="84"/>
      <c r="F448" s="85"/>
      <c r="G448" s="85"/>
      <c r="H448" s="85"/>
      <c r="I448" s="86"/>
      <c r="J448" s="85"/>
      <c r="K448" s="85"/>
      <c r="L448" s="85"/>
      <c r="M448" s="85"/>
      <c r="N448" s="85"/>
      <c r="O448" s="85"/>
      <c r="P448" s="85"/>
      <c r="Q448" s="85"/>
      <c r="R448" s="85"/>
      <c r="S448" s="85"/>
      <c r="T448" s="85"/>
      <c r="U448" s="85"/>
      <c r="V448" s="87"/>
      <c r="W448" s="87"/>
      <c r="X448" s="30"/>
      <c r="Y448" s="30"/>
      <c r="Z448" s="30"/>
      <c r="AA448" s="30"/>
      <c r="AB448" s="34"/>
      <c r="AC448" s="30"/>
      <c r="AD448" s="30"/>
      <c r="AE448" s="30"/>
      <c r="AF448" s="30"/>
      <c r="AG448" s="30"/>
      <c r="AH448" s="30"/>
      <c r="AI448" s="30"/>
      <c r="AJ448" s="30"/>
      <c r="AK448" s="30"/>
      <c r="AL448" s="30"/>
      <c r="AM448" s="30"/>
      <c r="AN448" s="30"/>
      <c r="AO448" s="30"/>
    </row>
    <row r="449" spans="1:41" s="39" customFormat="1" ht="13.5" customHeight="1">
      <c r="A449" s="32"/>
      <c r="B449" s="105" t="s">
        <v>236</v>
      </c>
      <c r="C449" s="82"/>
      <c r="D449" s="83"/>
      <c r="E449" s="84"/>
      <c r="F449" s="85"/>
      <c r="G449" s="85"/>
      <c r="H449" s="85"/>
      <c r="I449" s="86"/>
      <c r="J449" s="85"/>
      <c r="K449" s="85"/>
      <c r="L449" s="85"/>
      <c r="M449" s="85"/>
      <c r="N449" s="85"/>
      <c r="O449" s="85"/>
      <c r="P449" s="85"/>
      <c r="Q449" s="85"/>
      <c r="R449" s="85"/>
      <c r="S449" s="85"/>
      <c r="T449" s="85"/>
      <c r="U449" s="85"/>
      <c r="V449" s="87"/>
      <c r="W449" s="87"/>
      <c r="X449" s="30"/>
      <c r="Y449" s="30"/>
      <c r="Z449" s="30"/>
      <c r="AA449" s="30"/>
      <c r="AB449" s="34"/>
      <c r="AC449" s="30"/>
      <c r="AD449" s="30"/>
      <c r="AE449" s="30"/>
      <c r="AF449" s="30"/>
      <c r="AG449" s="30"/>
      <c r="AH449" s="30"/>
      <c r="AI449" s="30"/>
      <c r="AJ449" s="30"/>
      <c r="AK449" s="30"/>
      <c r="AL449" s="30"/>
      <c r="AM449" s="30"/>
      <c r="AN449" s="30"/>
      <c r="AO449" s="30"/>
    </row>
    <row r="450" spans="1:41" s="39" customFormat="1" ht="13.5" customHeight="1">
      <c r="A450" s="32"/>
      <c r="B450" s="105" t="s">
        <v>237</v>
      </c>
      <c r="C450" s="82"/>
      <c r="D450" s="83"/>
      <c r="E450" s="84"/>
      <c r="F450" s="85"/>
      <c r="G450" s="85"/>
      <c r="H450" s="85"/>
      <c r="I450" s="86"/>
      <c r="J450" s="85"/>
      <c r="K450" s="85"/>
      <c r="L450" s="85"/>
      <c r="M450" s="85"/>
      <c r="N450" s="85"/>
      <c r="O450" s="85"/>
      <c r="P450" s="85"/>
      <c r="Q450" s="85"/>
      <c r="R450" s="85"/>
      <c r="S450" s="85"/>
      <c r="T450" s="85"/>
      <c r="U450" s="85"/>
      <c r="V450" s="87"/>
      <c r="W450" s="87"/>
      <c r="X450" s="30"/>
      <c r="Y450" s="30"/>
      <c r="Z450" s="30"/>
      <c r="AA450" s="30"/>
      <c r="AB450" s="34"/>
      <c r="AC450" s="30"/>
      <c r="AD450" s="30"/>
      <c r="AE450" s="30"/>
      <c r="AF450" s="30"/>
      <c r="AG450" s="30"/>
      <c r="AH450" s="30"/>
      <c r="AI450" s="30"/>
      <c r="AJ450" s="30"/>
      <c r="AK450" s="30"/>
      <c r="AL450" s="30"/>
      <c r="AM450" s="30"/>
      <c r="AN450" s="30"/>
      <c r="AO450" s="30"/>
    </row>
    <row r="451" spans="1:41" s="39" customFormat="1" ht="13.5" customHeight="1">
      <c r="A451" s="32"/>
      <c r="B451" s="105" t="s">
        <v>238</v>
      </c>
      <c r="C451" s="82"/>
      <c r="D451" s="83"/>
      <c r="E451" s="84"/>
      <c r="F451" s="85"/>
      <c r="G451" s="85"/>
      <c r="H451" s="85"/>
      <c r="I451" s="86"/>
      <c r="J451" s="85"/>
      <c r="K451" s="85"/>
      <c r="L451" s="85"/>
      <c r="M451" s="85"/>
      <c r="N451" s="85"/>
      <c r="O451" s="85"/>
      <c r="P451" s="85"/>
      <c r="Q451" s="85"/>
      <c r="R451" s="85"/>
      <c r="S451" s="85"/>
      <c r="T451" s="85"/>
      <c r="U451" s="85"/>
      <c r="V451" s="87"/>
      <c r="W451" s="87"/>
      <c r="X451" s="30"/>
      <c r="Y451" s="30"/>
      <c r="Z451" s="30"/>
      <c r="AA451" s="30"/>
      <c r="AB451" s="34"/>
      <c r="AC451" s="30"/>
      <c r="AD451" s="30"/>
      <c r="AE451" s="30"/>
      <c r="AF451" s="30"/>
      <c r="AG451" s="30"/>
      <c r="AH451" s="30"/>
      <c r="AI451" s="30"/>
      <c r="AJ451" s="30"/>
      <c r="AK451" s="30"/>
      <c r="AL451" s="30"/>
      <c r="AM451" s="30"/>
      <c r="AN451" s="30"/>
      <c r="AO451" s="30"/>
    </row>
    <row r="452" spans="1:41" s="39" customFormat="1" ht="13.5" customHeight="1">
      <c r="A452" s="32"/>
      <c r="B452" s="105" t="s">
        <v>239</v>
      </c>
      <c r="C452" s="82"/>
      <c r="D452" s="83"/>
      <c r="E452" s="84"/>
      <c r="F452" s="85"/>
      <c r="G452" s="85"/>
      <c r="H452" s="85"/>
      <c r="I452" s="86"/>
      <c r="J452" s="85"/>
      <c r="K452" s="85"/>
      <c r="L452" s="85"/>
      <c r="M452" s="85"/>
      <c r="N452" s="85"/>
      <c r="O452" s="85"/>
      <c r="P452" s="85"/>
      <c r="Q452" s="85"/>
      <c r="R452" s="85"/>
      <c r="S452" s="85"/>
      <c r="T452" s="85"/>
      <c r="U452" s="85"/>
      <c r="V452" s="87"/>
      <c r="W452" s="87"/>
      <c r="X452" s="30"/>
      <c r="Y452" s="30"/>
      <c r="Z452" s="30"/>
      <c r="AA452" s="30"/>
      <c r="AB452" s="34"/>
      <c r="AC452" s="30"/>
      <c r="AD452" s="30"/>
      <c r="AE452" s="30"/>
      <c r="AF452" s="30"/>
      <c r="AG452" s="30"/>
      <c r="AH452" s="30"/>
      <c r="AI452" s="30"/>
      <c r="AJ452" s="30"/>
      <c r="AK452" s="30"/>
      <c r="AL452" s="30"/>
      <c r="AM452" s="30"/>
      <c r="AN452" s="30"/>
      <c r="AO452" s="30"/>
    </row>
    <row r="453" spans="1:41" s="39" customFormat="1" ht="13.5" customHeight="1">
      <c r="A453" s="32"/>
      <c r="B453" s="105"/>
      <c r="C453" s="82"/>
      <c r="D453" s="83"/>
      <c r="E453" s="84"/>
      <c r="F453" s="85"/>
      <c r="G453" s="85"/>
      <c r="H453" s="85"/>
      <c r="I453" s="86"/>
      <c r="J453" s="85"/>
      <c r="K453" s="85"/>
      <c r="L453" s="85"/>
      <c r="M453" s="85"/>
      <c r="N453" s="85"/>
      <c r="O453" s="85"/>
      <c r="P453" s="85"/>
      <c r="Q453" s="85"/>
      <c r="R453" s="85"/>
      <c r="S453" s="85"/>
      <c r="T453" s="85"/>
      <c r="U453" s="85"/>
      <c r="V453" s="87"/>
      <c r="W453" s="87"/>
      <c r="X453" s="30"/>
      <c r="Y453" s="30"/>
      <c r="Z453" s="30"/>
      <c r="AA453" s="30"/>
      <c r="AB453" s="34"/>
      <c r="AC453" s="30"/>
      <c r="AD453" s="30"/>
      <c r="AE453" s="30"/>
      <c r="AF453" s="30"/>
      <c r="AG453" s="30"/>
      <c r="AH453" s="30"/>
      <c r="AI453" s="30"/>
      <c r="AJ453" s="30"/>
      <c r="AK453" s="30"/>
      <c r="AL453" s="30"/>
      <c r="AM453" s="30"/>
      <c r="AN453" s="30"/>
      <c r="AO453" s="30"/>
    </row>
    <row r="454" spans="1:41" s="39" customFormat="1" ht="14.25" customHeight="1" thickBot="1">
      <c r="A454" s="32"/>
      <c r="B454" s="54"/>
      <c r="C454" s="82"/>
      <c r="D454" s="83"/>
      <c r="E454" s="84"/>
      <c r="F454" s="85"/>
      <c r="G454" s="85"/>
      <c r="H454" s="85"/>
      <c r="I454" s="86"/>
      <c r="J454" s="85"/>
      <c r="K454" s="85"/>
      <c r="L454" s="85"/>
      <c r="M454" s="85"/>
      <c r="N454" s="85"/>
      <c r="O454" s="85"/>
      <c r="P454" s="85"/>
      <c r="Q454" s="85"/>
      <c r="R454" s="85"/>
      <c r="S454" s="85"/>
      <c r="T454" s="85"/>
      <c r="U454" s="85"/>
      <c r="V454" s="87"/>
      <c r="W454" s="87"/>
      <c r="X454" s="30"/>
      <c r="Y454" s="30"/>
      <c r="Z454" s="30"/>
      <c r="AA454" s="30"/>
      <c r="AB454" s="34"/>
      <c r="AC454" s="30"/>
      <c r="AD454" s="30"/>
      <c r="AE454" s="30"/>
      <c r="AF454" s="30"/>
      <c r="AG454" s="30"/>
      <c r="AH454" s="30"/>
      <c r="AI454" s="30"/>
      <c r="AJ454" s="30"/>
      <c r="AK454" s="30"/>
      <c r="AL454" s="30"/>
      <c r="AM454" s="30"/>
      <c r="AN454" s="30"/>
      <c r="AO454" s="30"/>
    </row>
    <row r="455" spans="2:23" ht="12" customHeight="1">
      <c r="B455" s="55" t="s">
        <v>139</v>
      </c>
      <c r="C455" s="56"/>
      <c r="D455" s="57"/>
      <c r="E455" s="58"/>
      <c r="F455" s="58" t="s">
        <v>140</v>
      </c>
      <c r="G455" s="59"/>
      <c r="H455" s="57"/>
      <c r="I455" s="57"/>
      <c r="J455" s="57"/>
      <c r="K455" s="60" t="s">
        <v>141</v>
      </c>
      <c r="L455" s="57"/>
      <c r="M455" s="57"/>
      <c r="N455" s="57"/>
      <c r="O455" s="60"/>
      <c r="P455" s="60" t="s">
        <v>142</v>
      </c>
      <c r="Q455" s="57"/>
      <c r="R455" s="57"/>
      <c r="S455" s="60"/>
      <c r="T455" s="60" t="s">
        <v>160</v>
      </c>
      <c r="U455" s="60"/>
      <c r="V455" s="60"/>
      <c r="W455" s="61"/>
    </row>
    <row r="456" spans="2:23" ht="12" customHeight="1">
      <c r="B456" s="62" t="s">
        <v>143</v>
      </c>
      <c r="F456" s="63" t="s">
        <v>144</v>
      </c>
      <c r="G456" s="2"/>
      <c r="K456" s="63" t="s">
        <v>145</v>
      </c>
      <c r="O456" s="63"/>
      <c r="P456" s="63" t="s">
        <v>146</v>
      </c>
      <c r="Q456" s="1"/>
      <c r="R456" s="1"/>
      <c r="S456" s="63"/>
      <c r="T456" s="63" t="s">
        <v>165</v>
      </c>
      <c r="U456" s="63"/>
      <c r="W456" s="64"/>
    </row>
    <row r="457" spans="1:41" s="63" customFormat="1" ht="12" customHeight="1">
      <c r="A457" s="1"/>
      <c r="B457" s="62" t="s">
        <v>147</v>
      </c>
      <c r="C457" s="3"/>
      <c r="D457" s="1"/>
      <c r="F457" s="63" t="s">
        <v>148</v>
      </c>
      <c r="G457" s="2"/>
      <c r="H457" s="1"/>
      <c r="K457" s="63" t="s">
        <v>149</v>
      </c>
      <c r="L457" s="1"/>
      <c r="M457" s="1"/>
      <c r="N457" s="1"/>
      <c r="O457" s="65"/>
      <c r="P457" s="65" t="s">
        <v>150</v>
      </c>
      <c r="Q457" s="1"/>
      <c r="T457" s="63" t="s">
        <v>183</v>
      </c>
      <c r="V457" s="1"/>
      <c r="W457" s="64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</row>
    <row r="458" spans="1:41" s="63" customFormat="1" ht="12" customHeight="1">
      <c r="A458" s="1"/>
      <c r="B458" s="66" t="s">
        <v>159</v>
      </c>
      <c r="C458" s="3"/>
      <c r="D458" s="1"/>
      <c r="F458" s="63" t="s">
        <v>151</v>
      </c>
      <c r="H458" s="1"/>
      <c r="K458" s="63" t="s">
        <v>152</v>
      </c>
      <c r="L458" s="1"/>
      <c r="M458" s="1"/>
      <c r="N458" s="1"/>
      <c r="O458" s="65"/>
      <c r="P458" s="65" t="s">
        <v>153</v>
      </c>
      <c r="Q458" s="1"/>
      <c r="S458" s="3"/>
      <c r="T458" s="3"/>
      <c r="U458" s="3"/>
      <c r="V458" s="1"/>
      <c r="W458" s="64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</row>
    <row r="459" spans="1:41" s="63" customFormat="1" ht="12.75" customHeight="1" thickBot="1">
      <c r="A459" s="1"/>
      <c r="B459" s="67" t="s">
        <v>154</v>
      </c>
      <c r="C459" s="68"/>
      <c r="D459" s="69"/>
      <c r="E459" s="70"/>
      <c r="F459" s="70" t="s">
        <v>155</v>
      </c>
      <c r="G459" s="69"/>
      <c r="H459" s="68"/>
      <c r="I459" s="70"/>
      <c r="J459" s="70"/>
      <c r="K459" s="69" t="s">
        <v>158</v>
      </c>
      <c r="L459" s="69"/>
      <c r="M459" s="69"/>
      <c r="N459" s="69"/>
      <c r="O459" s="70"/>
      <c r="P459" s="70" t="s">
        <v>156</v>
      </c>
      <c r="Q459" s="69"/>
      <c r="R459" s="69"/>
      <c r="S459" s="69"/>
      <c r="T459" s="69"/>
      <c r="U459" s="69"/>
      <c r="V459" s="69"/>
      <c r="W459" s="71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</row>
    <row r="460" spans="1:41" s="63" customFormat="1" ht="12.75" customHeight="1">
      <c r="A460" s="1"/>
      <c r="B460" s="65"/>
      <c r="C460" s="72"/>
      <c r="F460" s="73"/>
      <c r="H460" s="1"/>
      <c r="I460" s="1"/>
      <c r="K460" s="1"/>
      <c r="L460" s="1"/>
      <c r="M460" s="1"/>
      <c r="O460" s="1"/>
      <c r="P460" s="1"/>
      <c r="Q460" s="1"/>
      <c r="R460" s="1"/>
      <c r="S460" s="1"/>
      <c r="T460" s="1"/>
      <c r="U460" s="1"/>
      <c r="V460" s="1"/>
      <c r="W460" s="6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</row>
    <row r="461" spans="1:41" s="63" customFormat="1" ht="12.75" customHeight="1">
      <c r="A461" s="1"/>
      <c r="B461" s="65" t="s">
        <v>157</v>
      </c>
      <c r="C461" s="72"/>
      <c r="F461" s="73"/>
      <c r="H461" s="1"/>
      <c r="I461" s="1"/>
      <c r="K461" s="1"/>
      <c r="L461" s="1"/>
      <c r="M461" s="1"/>
      <c r="O461" s="1"/>
      <c r="P461" s="1"/>
      <c r="Q461" s="1"/>
      <c r="R461" s="1"/>
      <c r="S461" s="1"/>
      <c r="T461" s="1"/>
      <c r="U461" s="1"/>
      <c r="V461" s="1"/>
      <c r="W461" s="6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</row>
    <row r="462" spans="2:18" ht="12.75" customHeight="1">
      <c r="B462" s="74"/>
      <c r="C462" s="75" t="s">
        <v>241</v>
      </c>
      <c r="D462" s="76"/>
      <c r="E462" s="77"/>
      <c r="F462" s="73"/>
      <c r="G462" s="78"/>
      <c r="Q462" s="1"/>
      <c r="R462" s="1"/>
    </row>
    <row r="463" spans="2:18" ht="12.75" customHeight="1">
      <c r="B463" s="74"/>
      <c r="C463" s="75" t="s">
        <v>162</v>
      </c>
      <c r="D463" s="76"/>
      <c r="E463" s="77"/>
      <c r="F463" s="73"/>
      <c r="G463" s="78"/>
      <c r="Q463" s="1"/>
      <c r="R463" s="1"/>
    </row>
    <row r="464" spans="2:18" ht="12.75" customHeight="1">
      <c r="B464" s="74"/>
      <c r="C464" s="75"/>
      <c r="D464" s="76"/>
      <c r="E464" s="77"/>
      <c r="F464" s="73"/>
      <c r="G464" s="78"/>
      <c r="Q464" s="1"/>
      <c r="R464" s="1"/>
    </row>
    <row r="465" spans="2:18" ht="12.75" customHeight="1">
      <c r="B465" s="74"/>
      <c r="C465" s="75"/>
      <c r="D465" s="76"/>
      <c r="E465" s="77"/>
      <c r="F465" s="73"/>
      <c r="G465" s="78"/>
      <c r="I465" s="109" t="s">
        <v>188</v>
      </c>
      <c r="J465" s="109"/>
      <c r="K465" s="109"/>
      <c r="L465" s="109"/>
      <c r="M465" s="109"/>
      <c r="Q465" s="1"/>
      <c r="R465" s="1"/>
    </row>
    <row r="466" spans="2:18" ht="12.75" customHeight="1" hidden="1">
      <c r="B466" s="79"/>
      <c r="C466" s="72"/>
      <c r="D466" s="80"/>
      <c r="E466" s="77"/>
      <c r="F466" s="73"/>
      <c r="G466" s="80"/>
      <c r="Q466" s="1"/>
      <c r="R466" s="1"/>
    </row>
    <row r="467" spans="2:18" ht="12.75" customHeight="1" hidden="1">
      <c r="B467" s="79"/>
      <c r="C467" s="72"/>
      <c r="D467" s="80"/>
      <c r="E467" s="77"/>
      <c r="F467" s="73"/>
      <c r="G467" s="80"/>
      <c r="Q467" s="1"/>
      <c r="R467" s="1"/>
    </row>
    <row r="468" spans="2:18" ht="12.75" customHeight="1" hidden="1">
      <c r="B468" s="79"/>
      <c r="C468" s="72"/>
      <c r="D468" s="80"/>
      <c r="E468" s="77"/>
      <c r="F468" s="73"/>
      <c r="G468" s="80"/>
      <c r="Q468" s="1"/>
      <c r="R468" s="1"/>
    </row>
    <row r="469" spans="2:18" ht="12.75" customHeight="1">
      <c r="B469" s="81"/>
      <c r="C469" s="2"/>
      <c r="D469" s="2"/>
      <c r="E469" s="2"/>
      <c r="F469" s="2"/>
      <c r="G469" s="2"/>
      <c r="I469" s="110" t="s">
        <v>189</v>
      </c>
      <c r="J469" s="111"/>
      <c r="K469" s="111"/>
      <c r="L469" s="111"/>
      <c r="M469" s="111"/>
      <c r="Q469" s="1"/>
      <c r="R469" s="1"/>
    </row>
    <row r="470" spans="9:18" ht="12.75" customHeight="1">
      <c r="I470" s="112"/>
      <c r="J470" s="112"/>
      <c r="K470" s="112"/>
      <c r="L470" s="112"/>
      <c r="M470" s="112"/>
      <c r="Q470" s="1"/>
      <c r="R470" s="1"/>
    </row>
    <row r="471" spans="17:18" ht="12.75" customHeight="1">
      <c r="Q471" s="1"/>
      <c r="R471" s="1"/>
    </row>
    <row r="472" spans="17:18" ht="12.75" customHeight="1">
      <c r="Q472" s="1"/>
      <c r="R472" s="1"/>
    </row>
    <row r="473" spans="17:18" ht="12.75" customHeight="1">
      <c r="Q473" s="1"/>
      <c r="R473" s="1"/>
    </row>
    <row r="474" spans="17:18" ht="12.75" customHeight="1">
      <c r="Q474" s="1"/>
      <c r="R474" s="1"/>
    </row>
    <row r="475" spans="17:18" ht="12.75" customHeight="1">
      <c r="Q475" s="1"/>
      <c r="R475" s="1"/>
    </row>
    <row r="476" spans="17:18" ht="12.75" customHeight="1">
      <c r="Q476" s="1"/>
      <c r="R476" s="1"/>
    </row>
    <row r="477" spans="17:18" ht="12.75" customHeight="1">
      <c r="Q477" s="1"/>
      <c r="R477" s="1"/>
    </row>
    <row r="478" spans="10:18" ht="12.75" customHeight="1">
      <c r="J478" s="88"/>
      <c r="Q478" s="1"/>
      <c r="R478" s="1"/>
    </row>
    <row r="479" spans="10:18" ht="12.75" customHeight="1">
      <c r="J479" s="89"/>
      <c r="Q479" s="1"/>
      <c r="R479" s="1"/>
    </row>
    <row r="480" spans="10:18" ht="12.75" customHeight="1">
      <c r="J480" s="89"/>
      <c r="Q480" s="1"/>
      <c r="R480" s="1"/>
    </row>
    <row r="481" spans="17:18" ht="12.75" customHeight="1">
      <c r="Q481" s="1"/>
      <c r="R481" s="1"/>
    </row>
    <row r="482" spans="17:18" ht="12.75" customHeight="1">
      <c r="Q482" s="1"/>
      <c r="R482" s="1"/>
    </row>
    <row r="483" spans="17:18" ht="12.75" customHeight="1">
      <c r="Q483" s="1"/>
      <c r="R483" s="1"/>
    </row>
    <row r="484" spans="17:18" ht="12.75" customHeight="1">
      <c r="Q484" s="1"/>
      <c r="R484" s="1"/>
    </row>
    <row r="485" spans="17:18" ht="12.75" customHeight="1">
      <c r="Q485" s="1"/>
      <c r="R485" s="1"/>
    </row>
    <row r="486" spans="17:18" ht="12.75" customHeight="1">
      <c r="Q486" s="1"/>
      <c r="R486" s="1"/>
    </row>
    <row r="487" spans="17:18" ht="12.75" customHeight="1">
      <c r="Q487" s="1"/>
      <c r="R487" s="1"/>
    </row>
    <row r="488" spans="17:18" ht="12.75" customHeight="1">
      <c r="Q488" s="1"/>
      <c r="R488" s="1"/>
    </row>
    <row r="489" spans="17:18" ht="12.75" customHeight="1">
      <c r="Q489" s="1"/>
      <c r="R489" s="1"/>
    </row>
    <row r="490" spans="17:18" ht="12.75" customHeight="1">
      <c r="Q490" s="1"/>
      <c r="R490" s="1"/>
    </row>
    <row r="491" spans="17:18" ht="12.75" customHeight="1">
      <c r="Q491" s="1"/>
      <c r="R491" s="1"/>
    </row>
    <row r="492" spans="17:18" ht="12.75" customHeight="1">
      <c r="Q492" s="1"/>
      <c r="R492" s="1"/>
    </row>
    <row r="493" spans="17:18" ht="12.75" customHeight="1">
      <c r="Q493" s="1"/>
      <c r="R493" s="1"/>
    </row>
    <row r="494" spans="17:18" ht="12.75" customHeight="1">
      <c r="Q494" s="1"/>
      <c r="R494" s="1"/>
    </row>
    <row r="495" spans="17:18" ht="12.75" customHeight="1">
      <c r="Q495" s="1"/>
      <c r="R495" s="1"/>
    </row>
    <row r="496" spans="17:18" ht="12.75" customHeight="1">
      <c r="Q496" s="1"/>
      <c r="R496" s="1"/>
    </row>
    <row r="497" spans="17:18" ht="12.75" customHeight="1">
      <c r="Q497" s="1"/>
      <c r="R497" s="1"/>
    </row>
    <row r="498" spans="17:18" ht="12.75" customHeight="1">
      <c r="Q498" s="1"/>
      <c r="R498" s="1"/>
    </row>
    <row r="499" spans="17:18" ht="12.75" customHeight="1">
      <c r="Q499" s="1"/>
      <c r="R499" s="1"/>
    </row>
    <row r="500" spans="17:18" ht="12.75" customHeight="1">
      <c r="Q500" s="1"/>
      <c r="R500" s="1"/>
    </row>
    <row r="501" spans="17:18" ht="12.75" customHeight="1">
      <c r="Q501" s="1"/>
      <c r="R501" s="1"/>
    </row>
    <row r="502" spans="17:18" ht="12.75" customHeight="1">
      <c r="Q502" s="1"/>
      <c r="R502" s="1"/>
    </row>
    <row r="503" spans="17:18" ht="12.75" customHeight="1">
      <c r="Q503" s="1"/>
      <c r="R503" s="1"/>
    </row>
    <row r="504" spans="17:18" ht="12.75" customHeight="1">
      <c r="Q504" s="1"/>
      <c r="R504" s="1"/>
    </row>
    <row r="505" spans="17:18" ht="12.75" customHeight="1">
      <c r="Q505" s="1"/>
      <c r="R505" s="1"/>
    </row>
    <row r="506" spans="17:18" ht="12.75" customHeight="1">
      <c r="Q506" s="1"/>
      <c r="R506" s="1"/>
    </row>
    <row r="507" spans="17:18" ht="12.75" customHeight="1">
      <c r="Q507" s="1"/>
      <c r="R507" s="1"/>
    </row>
    <row r="508" spans="17:18" ht="12.75" customHeight="1">
      <c r="Q508" s="1"/>
      <c r="R508" s="1"/>
    </row>
    <row r="509" spans="17:18" ht="12.75" customHeight="1">
      <c r="Q509" s="1"/>
      <c r="R509" s="1"/>
    </row>
    <row r="510" spans="17:18" ht="12.75" customHeight="1">
      <c r="Q510" s="1"/>
      <c r="R510" s="1"/>
    </row>
    <row r="511" spans="17:18" ht="12.75" customHeight="1">
      <c r="Q511" s="1"/>
      <c r="R511" s="1"/>
    </row>
    <row r="512" spans="17:18" ht="12.75" customHeight="1">
      <c r="Q512" s="1"/>
      <c r="R512" s="1"/>
    </row>
    <row r="513" spans="17:18" ht="12.75" customHeight="1">
      <c r="Q513" s="1"/>
      <c r="R513" s="1"/>
    </row>
    <row r="514" spans="17:18" ht="12.75" customHeight="1">
      <c r="Q514" s="1"/>
      <c r="R514" s="1"/>
    </row>
    <row r="515" spans="17:18" ht="12.75" customHeight="1">
      <c r="Q515" s="1"/>
      <c r="R515" s="1"/>
    </row>
    <row r="516" spans="17:18" ht="12.75" customHeight="1">
      <c r="Q516" s="1"/>
      <c r="R516" s="1"/>
    </row>
    <row r="517" spans="17:18" ht="12.75" customHeight="1">
      <c r="Q517" s="1"/>
      <c r="R517" s="1"/>
    </row>
    <row r="518" spans="17:18" ht="12.75" customHeight="1">
      <c r="Q518" s="1"/>
      <c r="R518" s="1"/>
    </row>
    <row r="519" spans="17:18" ht="12.75" customHeight="1">
      <c r="Q519" s="1"/>
      <c r="R519" s="1"/>
    </row>
    <row r="520" spans="17:18" ht="12.75" customHeight="1">
      <c r="Q520" s="1"/>
      <c r="R520" s="1"/>
    </row>
    <row r="521" spans="17:18" ht="12.75" customHeight="1">
      <c r="Q521" s="1"/>
      <c r="R521" s="1"/>
    </row>
    <row r="522" spans="17:18" ht="12.75" customHeight="1">
      <c r="Q522" s="1"/>
      <c r="R522" s="1"/>
    </row>
    <row r="523" spans="17:18" ht="12.75" customHeight="1">
      <c r="Q523" s="1"/>
      <c r="R523" s="1"/>
    </row>
    <row r="524" spans="17:18" ht="12.75" customHeight="1">
      <c r="Q524" s="1"/>
      <c r="R524" s="1"/>
    </row>
    <row r="525" spans="17:18" ht="12.75" customHeight="1">
      <c r="Q525" s="1"/>
      <c r="R525" s="1"/>
    </row>
    <row r="526" spans="17:18" ht="12.75" customHeight="1">
      <c r="Q526" s="1"/>
      <c r="R526" s="1"/>
    </row>
    <row r="527" spans="17:18" ht="12.75" customHeight="1">
      <c r="Q527" s="1"/>
      <c r="R527" s="1"/>
    </row>
    <row r="528" spans="17:18" ht="12.75" customHeight="1">
      <c r="Q528" s="1"/>
      <c r="R528" s="1"/>
    </row>
    <row r="529" spans="17:18" ht="12.75" customHeight="1">
      <c r="Q529" s="1"/>
      <c r="R529" s="1"/>
    </row>
    <row r="530" spans="17:18" ht="12.75" customHeight="1">
      <c r="Q530" s="1"/>
      <c r="R530" s="1"/>
    </row>
    <row r="531" spans="17:18" ht="12.75" customHeight="1">
      <c r="Q531" s="1"/>
      <c r="R531" s="1"/>
    </row>
    <row r="532" spans="17:18" ht="12.75" customHeight="1">
      <c r="Q532" s="1"/>
      <c r="R532" s="1"/>
    </row>
    <row r="533" spans="17:18" ht="12.75" customHeight="1">
      <c r="Q533" s="1"/>
      <c r="R533" s="1"/>
    </row>
    <row r="534" spans="17:18" ht="12.75" customHeight="1">
      <c r="Q534" s="1"/>
      <c r="R534" s="1"/>
    </row>
    <row r="535" spans="17:18" ht="12.75" customHeight="1">
      <c r="Q535" s="1"/>
      <c r="R535" s="1"/>
    </row>
    <row r="536" spans="17:18" ht="12.75" customHeight="1">
      <c r="Q536" s="1"/>
      <c r="R536" s="1"/>
    </row>
    <row r="537" spans="17:18" ht="12.75" customHeight="1">
      <c r="Q537" s="1"/>
      <c r="R537" s="1"/>
    </row>
    <row r="538" spans="17:18" ht="12.75" customHeight="1">
      <c r="Q538" s="1"/>
      <c r="R538" s="1"/>
    </row>
    <row r="539" spans="17:18" ht="12.75" customHeight="1">
      <c r="Q539" s="1"/>
      <c r="R539" s="1"/>
    </row>
    <row r="540" spans="17:18" ht="12.75" customHeight="1">
      <c r="Q540" s="1"/>
      <c r="R540" s="1"/>
    </row>
    <row r="541" spans="17:18" ht="12.75" customHeight="1">
      <c r="Q541" s="1"/>
      <c r="R541" s="1"/>
    </row>
    <row r="542" spans="17:18" ht="12.75" customHeight="1">
      <c r="Q542" s="1"/>
      <c r="R542" s="1"/>
    </row>
    <row r="543" spans="17:18" ht="12.75" customHeight="1">
      <c r="Q543" s="1"/>
      <c r="R543" s="1"/>
    </row>
    <row r="544" spans="17:18" ht="12.75" customHeight="1">
      <c r="Q544" s="1"/>
      <c r="R544" s="1"/>
    </row>
    <row r="545" spans="17:18" ht="12.75" customHeight="1">
      <c r="Q545" s="1"/>
      <c r="R545" s="1"/>
    </row>
    <row r="546" spans="17:18" ht="12.75" customHeight="1">
      <c r="Q546" s="1"/>
      <c r="R546" s="1"/>
    </row>
    <row r="547" spans="17:18" ht="12.75" customHeight="1">
      <c r="Q547" s="1"/>
      <c r="R547" s="1"/>
    </row>
    <row r="548" spans="17:18" ht="12.75" customHeight="1">
      <c r="Q548" s="1"/>
      <c r="R548" s="1"/>
    </row>
    <row r="549" spans="17:18" ht="12.75" customHeight="1">
      <c r="Q549" s="1"/>
      <c r="R549" s="1"/>
    </row>
    <row r="550" spans="17:18" ht="12.75" customHeight="1">
      <c r="Q550" s="1"/>
      <c r="R550" s="1"/>
    </row>
    <row r="551" spans="17:18" ht="12.75" customHeight="1">
      <c r="Q551" s="1"/>
      <c r="R551" s="1"/>
    </row>
    <row r="552" spans="17:18" ht="12.75" customHeight="1">
      <c r="Q552" s="1"/>
      <c r="R552" s="1"/>
    </row>
    <row r="553" spans="17:18" ht="12.75" customHeight="1">
      <c r="Q553" s="1"/>
      <c r="R553" s="1"/>
    </row>
    <row r="554" spans="17:18" ht="12.75" customHeight="1">
      <c r="Q554" s="1"/>
      <c r="R554" s="1"/>
    </row>
  </sheetData>
  <sheetProtection selectLockedCells="1" selectUnlockedCells="1"/>
  <mergeCells count="133">
    <mergeCell ref="B1:W1"/>
    <mergeCell ref="B2:B3"/>
    <mergeCell ref="C2:C4"/>
    <mergeCell ref="D2:E4"/>
    <mergeCell ref="F2:I2"/>
    <mergeCell ref="J2:P3"/>
    <mergeCell ref="Q2:R3"/>
    <mergeCell ref="S2:S4"/>
    <mergeCell ref="T2:T4"/>
    <mergeCell ref="U2:U4"/>
    <mergeCell ref="V2:W3"/>
    <mergeCell ref="F3:F4"/>
    <mergeCell ref="G3:H3"/>
    <mergeCell ref="I3:I4"/>
    <mergeCell ref="B9:B11"/>
    <mergeCell ref="B12:B14"/>
    <mergeCell ref="B15:B17"/>
    <mergeCell ref="B18:B20"/>
    <mergeCell ref="B21:B23"/>
    <mergeCell ref="B24:B26"/>
    <mergeCell ref="B27:B30"/>
    <mergeCell ref="B31:B34"/>
    <mergeCell ref="B35:B37"/>
    <mergeCell ref="B38:B40"/>
    <mergeCell ref="B41:B43"/>
    <mergeCell ref="B44:B46"/>
    <mergeCell ref="B47:B49"/>
    <mergeCell ref="B50:B52"/>
    <mergeCell ref="B53:B55"/>
    <mergeCell ref="B56:B58"/>
    <mergeCell ref="B59:B63"/>
    <mergeCell ref="B64:B66"/>
    <mergeCell ref="B67:B72"/>
    <mergeCell ref="B73:B75"/>
    <mergeCell ref="B76:B78"/>
    <mergeCell ref="B79:B82"/>
    <mergeCell ref="B83:B90"/>
    <mergeCell ref="B91:B93"/>
    <mergeCell ref="B94:B96"/>
    <mergeCell ref="B97:B99"/>
    <mergeCell ref="B100:B103"/>
    <mergeCell ref="B104:B106"/>
    <mergeCell ref="B107:B109"/>
    <mergeCell ref="B110:B112"/>
    <mergeCell ref="B113:B115"/>
    <mergeCell ref="B116:B118"/>
    <mergeCell ref="B119:B126"/>
    <mergeCell ref="B132:B134"/>
    <mergeCell ref="B135:B140"/>
    <mergeCell ref="B127:B131"/>
    <mergeCell ref="B141:B145"/>
    <mergeCell ref="B146:B148"/>
    <mergeCell ref="B149:B155"/>
    <mergeCell ref="B156:B158"/>
    <mergeCell ref="B159:B161"/>
    <mergeCell ref="B162:B165"/>
    <mergeCell ref="B166:B168"/>
    <mergeCell ref="B169:B171"/>
    <mergeCell ref="B172:B174"/>
    <mergeCell ref="B175:B177"/>
    <mergeCell ref="B178:B180"/>
    <mergeCell ref="B181:B183"/>
    <mergeCell ref="B184:B186"/>
    <mergeCell ref="B187:B189"/>
    <mergeCell ref="B190:B198"/>
    <mergeCell ref="B199:B203"/>
    <mergeCell ref="B204:B207"/>
    <mergeCell ref="B208:B213"/>
    <mergeCell ref="B214:B216"/>
    <mergeCell ref="B217:B219"/>
    <mergeCell ref="B220:B222"/>
    <mergeCell ref="B223:B226"/>
    <mergeCell ref="B227:B229"/>
    <mergeCell ref="B230:B236"/>
    <mergeCell ref="B237:B239"/>
    <mergeCell ref="B240:B242"/>
    <mergeCell ref="B243:B246"/>
    <mergeCell ref="B247:B251"/>
    <mergeCell ref="B252:B254"/>
    <mergeCell ref="B255:B257"/>
    <mergeCell ref="B258:B261"/>
    <mergeCell ref="B262:B264"/>
    <mergeCell ref="B277:B279"/>
    <mergeCell ref="B280:B282"/>
    <mergeCell ref="B283:B286"/>
    <mergeCell ref="B265:B267"/>
    <mergeCell ref="B268:B270"/>
    <mergeCell ref="B271:B273"/>
    <mergeCell ref="B274:B276"/>
    <mergeCell ref="B293:B295"/>
    <mergeCell ref="B296:B299"/>
    <mergeCell ref="B300:B302"/>
    <mergeCell ref="B303:B305"/>
    <mergeCell ref="B306:B308"/>
    <mergeCell ref="B309:B311"/>
    <mergeCell ref="B312:B314"/>
    <mergeCell ref="B315:B326"/>
    <mergeCell ref="B327:B329"/>
    <mergeCell ref="B330:B332"/>
    <mergeCell ref="B333:B335"/>
    <mergeCell ref="B336:B338"/>
    <mergeCell ref="B339:B342"/>
    <mergeCell ref="B343:B345"/>
    <mergeCell ref="B346:B354"/>
    <mergeCell ref="B355:B358"/>
    <mergeCell ref="B359:B361"/>
    <mergeCell ref="B362:B365"/>
    <mergeCell ref="B366:B368"/>
    <mergeCell ref="B369:B371"/>
    <mergeCell ref="B372:B380"/>
    <mergeCell ref="B381:B383"/>
    <mergeCell ref="B384:B386"/>
    <mergeCell ref="B387:B392"/>
    <mergeCell ref="B393:B395"/>
    <mergeCell ref="B396:B398"/>
    <mergeCell ref="B399:B404"/>
    <mergeCell ref="B405:B407"/>
    <mergeCell ref="B426:B428"/>
    <mergeCell ref="B441:B443"/>
    <mergeCell ref="B408:B410"/>
    <mergeCell ref="B411:B413"/>
    <mergeCell ref="B414:B416"/>
    <mergeCell ref="B417:B419"/>
    <mergeCell ref="B287:B292"/>
    <mergeCell ref="B5:B8"/>
    <mergeCell ref="I465:M465"/>
    <mergeCell ref="I469:M470"/>
    <mergeCell ref="B429:B431"/>
    <mergeCell ref="B432:B434"/>
    <mergeCell ref="B435:B437"/>
    <mergeCell ref="B438:B440"/>
    <mergeCell ref="B420:B422"/>
    <mergeCell ref="B423:B425"/>
  </mergeCells>
  <printOptions/>
  <pageMargins left="0.3597222222222222" right="0.19652777777777777" top="0.6402777777777777" bottom="0.7875" header="0.5118055555555555" footer="0.5118055555555555"/>
  <pageSetup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mccga</cp:lastModifiedBy>
  <cp:lastPrinted>2012-08-22T10:58:09Z</cp:lastPrinted>
  <dcterms:created xsi:type="dcterms:W3CDTF">2010-01-28T12:41:07Z</dcterms:created>
  <dcterms:modified xsi:type="dcterms:W3CDTF">2012-08-22T11:07:52Z</dcterms:modified>
  <cp:category/>
  <cp:version/>
  <cp:contentType/>
  <cp:contentStatus/>
  <cp:revision>4</cp:revision>
</cp:coreProperties>
</file>